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MIS DOCUMENTOS\Documentos\14 GESTION BOLIVIA\PUBLICACIONES POST\002 CUADRO DE EQUIVALENCIAS PERSONAL EVENTUAL\"/>
    </mc:Choice>
  </mc:AlternateContent>
  <bookViews>
    <workbookView xWindow="-108" yWindow="-108" windowWidth="23256" windowHeight="12576" firstSheet="4" activeTab="4"/>
  </bookViews>
  <sheets>
    <sheet name="planilla salarial CONSULTORES" sheetId="10" state="hidden" r:id="rId1"/>
    <sheet name="planilla salarial (5)" sheetId="12" state="hidden" r:id="rId2"/>
    <sheet name="ESCALA SALARIAL-PROPUESTA" sheetId="22" state="hidden" r:id="rId3"/>
    <sheet name="ESTRUCTURA DE CARGOS" sheetId="23" state="hidden" r:id="rId4"/>
    <sheet name="ESCALA SALARIAL" sheetId="41" r:id="rId5"/>
    <sheet name="EQUIVALENCIA" sheetId="42" r:id="rId6"/>
    <sheet name="CUADRO COMPARATIVO" sheetId="30" state="hidden" r:id="rId7"/>
    <sheet name="CUADRO RESUMEN" sheetId="28" state="hidden" r:id="rId8"/>
    <sheet name="DIRECTOR" sheetId="19" state="hidden" r:id="rId9"/>
    <sheet name="planilla salarial 2022" sheetId="14" state="hidden" r:id="rId10"/>
    <sheet name="planilla salarial (6)" sheetId="13" state="hidden" r:id="rId11"/>
    <sheet name="planilla salarial (4)" sheetId="11" state="hidden" r:id="rId12"/>
    <sheet name="planilla salarial (3)" sheetId="9" state="hidden" r:id="rId13"/>
    <sheet name="planilla salarial (2)" sheetId="8" state="hidden" r:id="rId14"/>
    <sheet name="Hoja5" sheetId="5" state="hidden" r:id="rId15"/>
    <sheet name="Hoja2" sheetId="2" state="hidden" r:id="rId16"/>
    <sheet name="escala salarial (3)" sheetId="18" state="hidden" r:id="rId17"/>
  </sheets>
  <externalReferences>
    <externalReference r:id="rId18"/>
    <externalReference r:id="rId19"/>
  </externalReferences>
  <definedNames>
    <definedName name="_xlnm._FilterDatabase" localSheetId="3" hidden="1">'ESTRUCTURA DE CARGOS'!$B$5:$G$40</definedName>
    <definedName name="_xlnm.Print_Area" localSheetId="9">'planilla salarial 2022'!$A$1:$AF$57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2" i="41" l="1"/>
  <c r="D5" i="42" l="1"/>
  <c r="C5" i="42"/>
  <c r="E18" i="42"/>
  <c r="E17" i="42"/>
  <c r="E16" i="42"/>
  <c r="E15" i="42"/>
  <c r="E14" i="42"/>
  <c r="E13" i="42"/>
  <c r="E12" i="42"/>
  <c r="E11" i="42"/>
  <c r="E10" i="42"/>
  <c r="E9" i="42"/>
  <c r="E8" i="42"/>
  <c r="D18" i="42"/>
  <c r="D17" i="42"/>
  <c r="D16" i="42"/>
  <c r="D15" i="42"/>
  <c r="D14" i="42"/>
  <c r="D13" i="42"/>
  <c r="D12" i="42"/>
  <c r="D11" i="42"/>
  <c r="D10" i="42"/>
  <c r="D9" i="42"/>
  <c r="D8" i="42"/>
  <c r="D22" i="41" l="1"/>
  <c r="F21" i="41"/>
  <c r="F20" i="41"/>
  <c r="F19" i="41"/>
  <c r="F18" i="41"/>
  <c r="F17" i="41"/>
  <c r="F16" i="41"/>
  <c r="F15" i="41"/>
  <c r="F14" i="41"/>
  <c r="F13" i="41"/>
  <c r="F12" i="41"/>
  <c r="F11" i="41"/>
  <c r="F22" i="41" s="1"/>
  <c r="F23" i="41" s="1"/>
  <c r="F24" i="41" l="1"/>
  <c r="E7" i="28" l="1"/>
  <c r="AB7" i="30" l="1"/>
  <c r="AC7" i="30"/>
  <c r="AD7" i="30"/>
  <c r="AE7" i="30"/>
  <c r="AF7" i="30"/>
  <c r="AB9" i="30"/>
  <c r="AC9" i="30"/>
  <c r="AD9" i="30"/>
  <c r="AE9" i="30"/>
  <c r="AF9" i="30"/>
  <c r="AH9" i="30" s="1"/>
  <c r="AB10" i="30"/>
  <c r="AC10" i="30"/>
  <c r="AD10" i="30"/>
  <c r="AE10" i="30"/>
  <c r="AF10" i="30"/>
  <c r="AH10" i="30" s="1"/>
  <c r="AB11" i="30"/>
  <c r="AC11" i="30"/>
  <c r="AD11" i="30"/>
  <c r="AE11" i="30"/>
  <c r="AF11" i="30"/>
  <c r="AH11" i="30" s="1"/>
  <c r="AB12" i="30"/>
  <c r="AC12" i="30"/>
  <c r="AD12" i="30"/>
  <c r="AE12" i="30"/>
  <c r="AF12" i="30"/>
  <c r="AH12" i="30" s="1"/>
  <c r="AB13" i="30"/>
  <c r="AC13" i="30"/>
  <c r="AD13" i="30"/>
  <c r="AE13" i="30"/>
  <c r="AF13" i="30"/>
  <c r="AH13" i="30" s="1"/>
  <c r="AB14" i="30"/>
  <c r="AC14" i="30"/>
  <c r="AD14" i="30"/>
  <c r="AE14" i="30"/>
  <c r="AF14" i="30"/>
  <c r="AH14" i="30" s="1"/>
  <c r="AB15" i="30"/>
  <c r="AC15" i="30"/>
  <c r="AD15" i="30"/>
  <c r="AE15" i="30"/>
  <c r="AF15" i="30"/>
  <c r="AH15" i="30" s="1"/>
  <c r="AB16" i="30"/>
  <c r="AC16" i="30"/>
  <c r="AD16" i="30"/>
  <c r="AE16" i="30"/>
  <c r="AF16" i="30"/>
  <c r="AH16" i="30" s="1"/>
  <c r="AB17" i="30"/>
  <c r="AC17" i="30"/>
  <c r="AD17" i="30"/>
  <c r="AE17" i="30"/>
  <c r="AF17" i="30"/>
  <c r="AH17" i="30" s="1"/>
  <c r="AB18" i="30"/>
  <c r="AC18" i="30"/>
  <c r="AD18" i="30"/>
  <c r="AE18" i="30"/>
  <c r="AF18" i="30"/>
  <c r="AH18" i="30" s="1"/>
  <c r="AB19" i="30"/>
  <c r="AC19" i="30"/>
  <c r="AD19" i="30"/>
  <c r="AE19" i="30"/>
  <c r="AF19" i="30"/>
  <c r="AH19" i="30" s="1"/>
  <c r="AB20" i="30"/>
  <c r="AC20" i="30"/>
  <c r="AD20" i="30"/>
  <c r="AE20" i="30"/>
  <c r="AF20" i="30"/>
  <c r="AH20" i="30" s="1"/>
  <c r="AB21" i="30"/>
  <c r="AC21" i="30"/>
  <c r="AD21" i="30"/>
  <c r="AE21" i="30"/>
  <c r="AF21" i="30"/>
  <c r="AH21" i="30" s="1"/>
  <c r="AB22" i="30"/>
  <c r="AC22" i="30"/>
  <c r="AD22" i="30"/>
  <c r="AE22" i="30"/>
  <c r="AF22" i="30"/>
  <c r="AH22" i="30" s="1"/>
  <c r="AB23" i="30"/>
  <c r="AC23" i="30"/>
  <c r="AD23" i="30"/>
  <c r="AE23" i="30"/>
  <c r="AF23" i="30"/>
  <c r="AH23" i="30" s="1"/>
  <c r="AB24" i="30"/>
  <c r="AC24" i="30"/>
  <c r="AD24" i="30"/>
  <c r="AE24" i="30"/>
  <c r="AF24" i="30"/>
  <c r="AH24" i="30" s="1"/>
  <c r="AB25" i="30"/>
  <c r="AC25" i="30"/>
  <c r="AD25" i="30"/>
  <c r="AE25" i="30"/>
  <c r="AF25" i="30"/>
  <c r="AH25" i="30" s="1"/>
  <c r="AB26" i="30"/>
  <c r="AC26" i="30"/>
  <c r="AD26" i="30"/>
  <c r="AE26" i="30"/>
  <c r="AF26" i="30"/>
  <c r="AH26" i="30" s="1"/>
  <c r="AB27" i="30"/>
  <c r="AC27" i="30"/>
  <c r="AD27" i="30"/>
  <c r="AE27" i="30"/>
  <c r="AF27" i="30"/>
  <c r="AH27" i="30" s="1"/>
  <c r="AB28" i="30"/>
  <c r="AC28" i="30"/>
  <c r="AD28" i="30"/>
  <c r="AE28" i="30"/>
  <c r="AF28" i="30"/>
  <c r="AH28" i="30" s="1"/>
  <c r="AB29" i="30"/>
  <c r="AC29" i="30"/>
  <c r="AD29" i="30"/>
  <c r="AE29" i="30"/>
  <c r="AF29" i="30"/>
  <c r="AH29" i="30" s="1"/>
  <c r="AB30" i="30"/>
  <c r="AC30" i="30"/>
  <c r="AD30" i="30"/>
  <c r="AE30" i="30"/>
  <c r="AF30" i="30"/>
  <c r="AH30" i="30" s="1"/>
  <c r="AB31" i="30"/>
  <c r="AC31" i="30"/>
  <c r="AD31" i="30"/>
  <c r="AE31" i="30"/>
  <c r="AF31" i="30"/>
  <c r="AH31" i="30" s="1"/>
  <c r="AB32" i="30"/>
  <c r="AC32" i="30"/>
  <c r="AD32" i="30"/>
  <c r="AE32" i="30"/>
  <c r="AF32" i="30"/>
  <c r="AH32" i="30" s="1"/>
  <c r="AB33" i="30"/>
  <c r="AC33" i="30"/>
  <c r="AD33" i="30"/>
  <c r="AE33" i="30"/>
  <c r="AF33" i="30"/>
  <c r="AH33" i="30" s="1"/>
  <c r="AB34" i="30"/>
  <c r="AC34" i="30"/>
  <c r="AD34" i="30"/>
  <c r="AE34" i="30"/>
  <c r="AF34" i="30"/>
  <c r="AH34" i="30" s="1"/>
  <c r="AB35" i="30"/>
  <c r="AC35" i="30"/>
  <c r="AD35" i="30"/>
  <c r="AE35" i="30"/>
  <c r="AF35" i="30"/>
  <c r="AH35" i="30" s="1"/>
  <c r="AB36" i="30"/>
  <c r="AK11" i="30" l="1"/>
  <c r="AI11" i="30"/>
  <c r="AJ11" i="30"/>
  <c r="AL11" i="30"/>
  <c r="AJ21" i="30"/>
  <c r="AI21" i="30"/>
  <c r="AL21" i="30"/>
  <c r="AK21" i="30"/>
  <c r="AI33" i="30"/>
  <c r="AK33" i="30"/>
  <c r="AJ33" i="30"/>
  <c r="AL33" i="30"/>
  <c r="AJ9" i="30"/>
  <c r="AK9" i="30"/>
  <c r="AI9" i="30"/>
  <c r="AL9" i="30"/>
  <c r="AL23" i="30"/>
  <c r="AJ23" i="30"/>
  <c r="AK23" i="30"/>
  <c r="AI23" i="30"/>
  <c r="AK18" i="30"/>
  <c r="AJ18" i="30"/>
  <c r="AL18" i="30"/>
  <c r="AI18" i="30"/>
  <c r="AI25" i="30"/>
  <c r="AL25" i="30"/>
  <c r="AJ25" i="30"/>
  <c r="AK25" i="30"/>
  <c r="AI13" i="30"/>
  <c r="AL13" i="30"/>
  <c r="AK13" i="30"/>
  <c r="AJ13" i="30"/>
  <c r="AI35" i="30"/>
  <c r="AL35" i="30"/>
  <c r="AK35" i="30"/>
  <c r="AJ35" i="30"/>
  <c r="AI32" i="30"/>
  <c r="AL32" i="30"/>
  <c r="AK32" i="30"/>
  <c r="AJ32" i="30"/>
  <c r="AJ20" i="30"/>
  <c r="AL20" i="30"/>
  <c r="AK20" i="30"/>
  <c r="AI20" i="30"/>
  <c r="AJ28" i="30"/>
  <c r="AI28" i="30"/>
  <c r="AL28" i="30"/>
  <c r="AK28" i="30"/>
  <c r="AJ15" i="30"/>
  <c r="AL15" i="30"/>
  <c r="AK15" i="30"/>
  <c r="AI15" i="30"/>
  <c r="AJ27" i="30"/>
  <c r="AK27" i="30"/>
  <c r="AI27" i="30"/>
  <c r="AL27" i="30"/>
  <c r="AJ22" i="30"/>
  <c r="AI22" i="30"/>
  <c r="AL22" i="30"/>
  <c r="AK22" i="30"/>
  <c r="AI10" i="30"/>
  <c r="AL10" i="30"/>
  <c r="AK10" i="30"/>
  <c r="AJ10" i="30"/>
  <c r="AJ16" i="30"/>
  <c r="AI16" i="30"/>
  <c r="AK16" i="30"/>
  <c r="AL16" i="30"/>
  <c r="AK30" i="30"/>
  <c r="AI30" i="30"/>
  <c r="AL30" i="30"/>
  <c r="AJ30" i="30"/>
  <c r="AK29" i="30"/>
  <c r="AI29" i="30"/>
  <c r="AL29" i="30"/>
  <c r="AJ29" i="30"/>
  <c r="AK17" i="30"/>
  <c r="AL17" i="30"/>
  <c r="AJ17" i="30"/>
  <c r="AI17" i="30"/>
  <c r="AL24" i="30"/>
  <c r="AI24" i="30"/>
  <c r="AK24" i="30"/>
  <c r="AJ24" i="30"/>
  <c r="AK12" i="30"/>
  <c r="AJ12" i="30"/>
  <c r="AI12" i="30"/>
  <c r="AL12" i="30"/>
  <c r="AL31" i="30"/>
  <c r="AJ31" i="30"/>
  <c r="AK31" i="30"/>
  <c r="AI31" i="30"/>
  <c r="AL19" i="30"/>
  <c r="AJ19" i="30"/>
  <c r="AI19" i="30"/>
  <c r="AK19" i="30"/>
  <c r="AJ34" i="30"/>
  <c r="AI34" i="30"/>
  <c r="AL34" i="30"/>
  <c r="AK34" i="30"/>
  <c r="AJ26" i="30"/>
  <c r="AI26" i="30"/>
  <c r="AK26" i="30"/>
  <c r="AL26" i="30"/>
  <c r="AL14" i="30"/>
  <c r="AJ14" i="30"/>
  <c r="AI14" i="30"/>
  <c r="AK14" i="30"/>
  <c r="AH36" i="30"/>
  <c r="AF36" i="30"/>
  <c r="AM35" i="30" l="1"/>
  <c r="AM20" i="30"/>
  <c r="AM21" i="30"/>
  <c r="AM15" i="30"/>
  <c r="AM31" i="30"/>
  <c r="AM19" i="30"/>
  <c r="AM29" i="30"/>
  <c r="AM9" i="30"/>
  <c r="AM18" i="30"/>
  <c r="AM28" i="30"/>
  <c r="AM24" i="30"/>
  <c r="AM22" i="30"/>
  <c r="AM33" i="30"/>
  <c r="AM27" i="30"/>
  <c r="AM23" i="30"/>
  <c r="AM13" i="30"/>
  <c r="AM25" i="30"/>
  <c r="AM30" i="30"/>
  <c r="AM32" i="30"/>
  <c r="AM16" i="30"/>
  <c r="AM17" i="30"/>
  <c r="AM34" i="30"/>
  <c r="AM12" i="30"/>
  <c r="AM10" i="30"/>
  <c r="AM14" i="30"/>
  <c r="AM11" i="30"/>
  <c r="AM26" i="30"/>
  <c r="AI36" i="30"/>
  <c r="AJ36" i="30"/>
  <c r="AK36" i="30"/>
  <c r="AL36" i="30"/>
  <c r="AM36" i="30" l="1"/>
  <c r="S35" i="30" l="1"/>
  <c r="T35" i="30" s="1"/>
  <c r="F35" i="30"/>
  <c r="C35" i="30"/>
  <c r="B35" i="30"/>
  <c r="S34" i="30"/>
  <c r="T34" i="30" s="1"/>
  <c r="F34" i="30"/>
  <c r="C34" i="30"/>
  <c r="B34" i="30"/>
  <c r="S33" i="30"/>
  <c r="T33" i="30" s="1"/>
  <c r="F33" i="30"/>
  <c r="C33" i="30"/>
  <c r="B33" i="30"/>
  <c r="S32" i="30"/>
  <c r="T32" i="30" s="1"/>
  <c r="F32" i="30"/>
  <c r="C32" i="30"/>
  <c r="B32" i="30"/>
  <c r="S31" i="30"/>
  <c r="T31" i="30" s="1"/>
  <c r="F31" i="30"/>
  <c r="C31" i="30"/>
  <c r="B31" i="30"/>
  <c r="S30" i="30"/>
  <c r="T30" i="30" s="1"/>
  <c r="F30" i="30"/>
  <c r="C30" i="30"/>
  <c r="B30" i="30"/>
  <c r="S29" i="30"/>
  <c r="T29" i="30" s="1"/>
  <c r="F29" i="30"/>
  <c r="C29" i="30"/>
  <c r="B29" i="30"/>
  <c r="S28" i="30"/>
  <c r="T28" i="30" s="1"/>
  <c r="F28" i="30"/>
  <c r="C28" i="30"/>
  <c r="B28" i="30"/>
  <c r="S27" i="30"/>
  <c r="T27" i="30" s="1"/>
  <c r="F27" i="30"/>
  <c r="C27" i="30"/>
  <c r="B27" i="30"/>
  <c r="S26" i="30"/>
  <c r="T26" i="30" s="1"/>
  <c r="F26" i="30"/>
  <c r="C26" i="30"/>
  <c r="B26" i="30"/>
  <c r="S25" i="30"/>
  <c r="T25" i="30" s="1"/>
  <c r="F25" i="30"/>
  <c r="C25" i="30"/>
  <c r="B25" i="30"/>
  <c r="S24" i="30"/>
  <c r="T24" i="30" s="1"/>
  <c r="F24" i="30"/>
  <c r="C24" i="30"/>
  <c r="B24" i="30"/>
  <c r="S23" i="30"/>
  <c r="T23" i="30" s="1"/>
  <c r="C23" i="30"/>
  <c r="B23" i="30"/>
  <c r="S22" i="30"/>
  <c r="T22" i="30" s="1"/>
  <c r="C22" i="30"/>
  <c r="B22" i="30"/>
  <c r="S21" i="30"/>
  <c r="T21" i="30" s="1"/>
  <c r="F21" i="30"/>
  <c r="C21" i="30"/>
  <c r="B21" i="30"/>
  <c r="S20" i="30"/>
  <c r="T20" i="30" s="1"/>
  <c r="F20" i="30"/>
  <c r="C20" i="30"/>
  <c r="B20" i="30"/>
  <c r="S19" i="30"/>
  <c r="T19" i="30" s="1"/>
  <c r="F19" i="30"/>
  <c r="C19" i="30"/>
  <c r="B19" i="30"/>
  <c r="S18" i="30"/>
  <c r="T18" i="30" s="1"/>
  <c r="C18" i="30"/>
  <c r="B18" i="30"/>
  <c r="S17" i="30"/>
  <c r="T17" i="30" s="1"/>
  <c r="F17" i="30"/>
  <c r="C17" i="30"/>
  <c r="B17" i="30"/>
  <c r="S16" i="30"/>
  <c r="T16" i="30" s="1"/>
  <c r="F16" i="30"/>
  <c r="C16" i="30"/>
  <c r="B16" i="30"/>
  <c r="S15" i="30"/>
  <c r="T15" i="30" s="1"/>
  <c r="F15" i="30"/>
  <c r="C15" i="30"/>
  <c r="B15" i="30"/>
  <c r="S14" i="30"/>
  <c r="T14" i="30" s="1"/>
  <c r="F14" i="30"/>
  <c r="C14" i="30"/>
  <c r="B14" i="30"/>
  <c r="S13" i="30"/>
  <c r="T13" i="30" s="1"/>
  <c r="C13" i="30"/>
  <c r="B13" i="30"/>
  <c r="S12" i="30"/>
  <c r="T12" i="30" s="1"/>
  <c r="C12" i="30"/>
  <c r="B12" i="30"/>
  <c r="S11" i="30"/>
  <c r="T11" i="30" s="1"/>
  <c r="F11" i="30"/>
  <c r="C11" i="30"/>
  <c r="B11" i="30"/>
  <c r="S10" i="30"/>
  <c r="T10" i="30" s="1"/>
  <c r="F10" i="30"/>
  <c r="C10" i="30"/>
  <c r="B10" i="30"/>
  <c r="S9" i="30"/>
  <c r="T9" i="30" s="1"/>
  <c r="C9" i="30"/>
  <c r="B9" i="30"/>
  <c r="D5" i="28"/>
  <c r="F5" i="28"/>
  <c r="G5" i="28" s="1"/>
  <c r="U11" i="30" l="1"/>
  <c r="U21" i="30"/>
  <c r="U35" i="30"/>
  <c r="U10" i="30"/>
  <c r="X10" i="30" s="1"/>
  <c r="U16" i="30"/>
  <c r="X16" i="30" s="1"/>
  <c r="U27" i="30"/>
  <c r="W27" i="30" s="1"/>
  <c r="U32" i="30"/>
  <c r="X32" i="30" s="1"/>
  <c r="U17" i="30"/>
  <c r="V17" i="30" s="1"/>
  <c r="U20" i="30"/>
  <c r="Y20" i="30" s="1"/>
  <c r="U31" i="30"/>
  <c r="Y31" i="30" s="1"/>
  <c r="U34" i="30"/>
  <c r="X34" i="30" s="1"/>
  <c r="U15" i="30"/>
  <c r="W15" i="30" s="1"/>
  <c r="U29" i="30"/>
  <c r="X29" i="30" s="1"/>
  <c r="U24" i="30"/>
  <c r="V24" i="30" s="1"/>
  <c r="U19" i="30"/>
  <c r="Y19" i="30" s="1"/>
  <c r="U30" i="30"/>
  <c r="V30" i="30" s="1"/>
  <c r="U14" i="30"/>
  <c r="V14" i="30" s="1"/>
  <c r="U25" i="30"/>
  <c r="Y25" i="30" s="1"/>
  <c r="U28" i="30"/>
  <c r="Y28" i="30" s="1"/>
  <c r="U26" i="30"/>
  <c r="Y26" i="30" s="1"/>
  <c r="Y10" i="30"/>
  <c r="V10" i="30"/>
  <c r="W10" i="30"/>
  <c r="X24" i="30"/>
  <c r="Y24" i="30"/>
  <c r="W24" i="30"/>
  <c r="U33" i="30"/>
  <c r="Y35" i="30"/>
  <c r="X35" i="30"/>
  <c r="W35" i="30"/>
  <c r="V35" i="30"/>
  <c r="Y21" i="30"/>
  <c r="X21" i="30"/>
  <c r="W21" i="30"/>
  <c r="V21" i="30"/>
  <c r="Y11" i="30"/>
  <c r="X11" i="30"/>
  <c r="W11" i="30"/>
  <c r="V11" i="30"/>
  <c r="W31" i="30"/>
  <c r="V31" i="30"/>
  <c r="V29" i="30"/>
  <c r="Y29" i="30"/>
  <c r="W29" i="30" l="1"/>
  <c r="X28" i="30"/>
  <c r="V28" i="30"/>
  <c r="Z21" i="30"/>
  <c r="X31" i="30"/>
  <c r="Z31" i="30" s="1"/>
  <c r="V15" i="30"/>
  <c r="V20" i="30"/>
  <c r="Z20" i="30" s="1"/>
  <c r="W20" i="30"/>
  <c r="W26" i="30"/>
  <c r="X15" i="30"/>
  <c r="V25" i="30"/>
  <c r="X20" i="30"/>
  <c r="W25" i="30"/>
  <c r="V32" i="30"/>
  <c r="Z32" i="30" s="1"/>
  <c r="X25" i="30"/>
  <c r="Y15" i="30"/>
  <c r="Z24" i="30"/>
  <c r="Y32" i="30"/>
  <c r="Y16" i="30"/>
  <c r="Z29" i="30"/>
  <c r="W34" i="30"/>
  <c r="W16" i="30"/>
  <c r="V34" i="30"/>
  <c r="V16" i="30"/>
  <c r="W32" i="30"/>
  <c r="Y34" i="30"/>
  <c r="Y27" i="30"/>
  <c r="V27" i="30"/>
  <c r="W17" i="30"/>
  <c r="X27" i="30"/>
  <c r="V26" i="30"/>
  <c r="X17" i="30"/>
  <c r="X26" i="30"/>
  <c r="Y17" i="30"/>
  <c r="W14" i="30"/>
  <c r="W30" i="30"/>
  <c r="X30" i="30"/>
  <c r="Z10" i="30"/>
  <c r="Y13" i="30"/>
  <c r="X14" i="30"/>
  <c r="Y14" i="30"/>
  <c r="W28" i="30"/>
  <c r="Z28" i="30" s="1"/>
  <c r="Y30" i="30"/>
  <c r="V19" i="30"/>
  <c r="W19" i="30"/>
  <c r="X19" i="30"/>
  <c r="Z11" i="30"/>
  <c r="Z35" i="30"/>
  <c r="Y33" i="30"/>
  <c r="X33" i="30"/>
  <c r="W33" i="30"/>
  <c r="V33" i="30"/>
  <c r="G23" i="23"/>
  <c r="F22" i="30" s="1"/>
  <c r="U22" i="30" s="1"/>
  <c r="X22" i="30" s="1"/>
  <c r="G11" i="23"/>
  <c r="F12" i="30" s="1"/>
  <c r="U12" i="30" s="1"/>
  <c r="G12" i="23"/>
  <c r="F13" i="30" s="1"/>
  <c r="U13" i="30" s="1"/>
  <c r="W13" i="30" s="1"/>
  <c r="G18" i="23"/>
  <c r="F18" i="30" s="1"/>
  <c r="U18" i="30" s="1"/>
  <c r="Y18" i="30" s="1"/>
  <c r="G24" i="23"/>
  <c r="F23" i="30" s="1"/>
  <c r="U23" i="30" s="1"/>
  <c r="V23" i="30" s="1"/>
  <c r="Z33" i="30" l="1"/>
  <c r="X12" i="30"/>
  <c r="X13" i="30"/>
  <c r="W18" i="30"/>
  <c r="Z25" i="30"/>
  <c r="Y22" i="30"/>
  <c r="Z22" i="30" s="1"/>
  <c r="W23" i="30"/>
  <c r="Z23" i="30" s="1"/>
  <c r="Y23" i="30"/>
  <c r="X18" i="30"/>
  <c r="X23" i="30"/>
  <c r="V22" i="30"/>
  <c r="V13" i="30"/>
  <c r="Z13" i="30" s="1"/>
  <c r="Z27" i="30"/>
  <c r="V18" i="30"/>
  <c r="Z18" i="30" s="1"/>
  <c r="W22" i="30"/>
  <c r="W12" i="30"/>
  <c r="Y12" i="30"/>
  <c r="V12" i="30"/>
  <c r="Z12" i="30" s="1"/>
  <c r="Z15" i="30"/>
  <c r="Z34" i="30"/>
  <c r="Z16" i="30"/>
  <c r="Z17" i="30"/>
  <c r="Z26" i="30"/>
  <c r="Z19" i="30"/>
  <c r="Z14" i="30"/>
  <c r="Z30" i="30"/>
  <c r="H15" i="22" l="1"/>
  <c r="H16" i="22"/>
  <c r="H17" i="22"/>
  <c r="H18" i="22"/>
  <c r="H19" i="22"/>
  <c r="H20" i="22"/>
  <c r="H21" i="22"/>
  <c r="H22" i="22"/>
  <c r="H23" i="22"/>
  <c r="H24" i="22"/>
  <c r="H14" i="22"/>
  <c r="H26" i="22" l="1"/>
  <c r="F25" i="22"/>
  <c r="D6" i="28"/>
  <c r="F6" i="28"/>
  <c r="G6" i="28" s="1"/>
  <c r="F4" i="28"/>
  <c r="G4" i="28" s="1"/>
  <c r="G7" i="28" l="1"/>
  <c r="F7" i="28"/>
  <c r="G7" i="23"/>
  <c r="G39" i="23" l="1"/>
  <c r="G40" i="23" s="1"/>
  <c r="F9" i="30"/>
  <c r="K7" i="23"/>
  <c r="K8" i="23"/>
  <c r="K9" i="23"/>
  <c r="K10" i="23"/>
  <c r="K11" i="23"/>
  <c r="K12" i="23"/>
  <c r="K13" i="23"/>
  <c r="K14" i="23"/>
  <c r="K15" i="23"/>
  <c r="K16" i="23"/>
  <c r="K17" i="23"/>
  <c r="K18" i="23"/>
  <c r="K19" i="23"/>
  <c r="K20" i="23"/>
  <c r="K21" i="23"/>
  <c r="K22" i="23"/>
  <c r="K23" i="23"/>
  <c r="K24" i="23"/>
  <c r="K25" i="23"/>
  <c r="K26" i="23"/>
  <c r="K27" i="23"/>
  <c r="K28" i="23"/>
  <c r="K29" i="23"/>
  <c r="K30" i="23"/>
  <c r="K31" i="23"/>
  <c r="K32" i="23"/>
  <c r="K33" i="23"/>
  <c r="K34" i="23"/>
  <c r="K35" i="23"/>
  <c r="K36" i="23"/>
  <c r="K37" i="23"/>
  <c r="J7" i="23"/>
  <c r="J8" i="23"/>
  <c r="J9" i="23"/>
  <c r="J10" i="23"/>
  <c r="J11" i="23"/>
  <c r="J12" i="23"/>
  <c r="J13" i="23"/>
  <c r="J14" i="23"/>
  <c r="J15" i="23"/>
  <c r="J16" i="23"/>
  <c r="J17" i="23"/>
  <c r="J18" i="23"/>
  <c r="J19" i="23"/>
  <c r="J20" i="23"/>
  <c r="J21" i="23"/>
  <c r="J22" i="23"/>
  <c r="J23" i="23"/>
  <c r="J24" i="23"/>
  <c r="J25" i="23"/>
  <c r="J26" i="23"/>
  <c r="J27" i="23"/>
  <c r="J28" i="23"/>
  <c r="J29" i="23"/>
  <c r="J30" i="23"/>
  <c r="J31" i="23"/>
  <c r="J32" i="23"/>
  <c r="J33" i="23"/>
  <c r="J34" i="23"/>
  <c r="J35" i="23"/>
  <c r="J36" i="23"/>
  <c r="J37" i="23"/>
  <c r="I7" i="23"/>
  <c r="I8" i="23"/>
  <c r="I9" i="23"/>
  <c r="I10" i="23"/>
  <c r="I11" i="23"/>
  <c r="I12" i="23"/>
  <c r="I13" i="23"/>
  <c r="I14" i="23"/>
  <c r="I15" i="23"/>
  <c r="I16" i="23"/>
  <c r="I17" i="23"/>
  <c r="I18" i="23"/>
  <c r="I19" i="23"/>
  <c r="I20" i="23"/>
  <c r="I21" i="23"/>
  <c r="I22" i="23"/>
  <c r="I23" i="23"/>
  <c r="I24" i="23"/>
  <c r="I25" i="23"/>
  <c r="I26" i="23"/>
  <c r="I27" i="23"/>
  <c r="I28" i="23"/>
  <c r="I29" i="23"/>
  <c r="I30" i="23"/>
  <c r="I31" i="23"/>
  <c r="I32" i="23"/>
  <c r="I33" i="23"/>
  <c r="I34" i="23"/>
  <c r="I35" i="23"/>
  <c r="I36" i="23"/>
  <c r="I37" i="23"/>
  <c r="H7" i="23"/>
  <c r="H8" i="23"/>
  <c r="H9" i="23"/>
  <c r="H10" i="23"/>
  <c r="H11" i="23"/>
  <c r="H12" i="23"/>
  <c r="H13" i="23"/>
  <c r="H14" i="23"/>
  <c r="H15" i="23"/>
  <c r="H16" i="23"/>
  <c r="H17" i="23"/>
  <c r="H18" i="23"/>
  <c r="H19" i="23"/>
  <c r="H20" i="23"/>
  <c r="H21" i="23"/>
  <c r="H22" i="23"/>
  <c r="H23" i="23"/>
  <c r="H24" i="23"/>
  <c r="H25" i="23"/>
  <c r="H26" i="23"/>
  <c r="H27" i="23"/>
  <c r="H28" i="23"/>
  <c r="H29" i="23"/>
  <c r="H30" i="23"/>
  <c r="H31" i="23"/>
  <c r="H32" i="23"/>
  <c r="H33" i="23"/>
  <c r="H34" i="23"/>
  <c r="H35" i="23"/>
  <c r="H36" i="23"/>
  <c r="H37" i="23"/>
  <c r="K39" i="23"/>
  <c r="U9" i="30" l="1"/>
  <c r="F36" i="30"/>
  <c r="J38" i="23"/>
  <c r="I38" i="23"/>
  <c r="K38" i="23"/>
  <c r="H38" i="23"/>
  <c r="I39" i="23"/>
  <c r="J39" i="23"/>
  <c r="H39" i="23"/>
  <c r="U36" i="30" l="1"/>
  <c r="Y9" i="30"/>
  <c r="Y36" i="30" s="1"/>
  <c r="X9" i="30"/>
  <c r="X36" i="30" s="1"/>
  <c r="W9" i="30"/>
  <c r="W36" i="30" s="1"/>
  <c r="V9" i="30"/>
  <c r="V36" i="30" s="1"/>
  <c r="H40" i="23"/>
  <c r="K40" i="23"/>
  <c r="J40" i="23"/>
  <c r="I40" i="23"/>
  <c r="Z9" i="30" l="1"/>
  <c r="Z36" i="30" s="1"/>
  <c r="H27" i="22"/>
  <c r="S23" i="14" l="1"/>
  <c r="AA23" i="14" s="1"/>
  <c r="T22" i="14"/>
  <c r="U22" i="14" s="1"/>
  <c r="S22" i="14"/>
  <c r="AA22" i="14" s="1"/>
  <c r="S21" i="14"/>
  <c r="AA21" i="14" s="1"/>
  <c r="S20" i="14"/>
  <c r="T20" i="14" s="1"/>
  <c r="U20" i="14" s="1"/>
  <c r="T21" i="14" l="1"/>
  <c r="U21" i="14" s="1"/>
  <c r="W21" i="14" s="1"/>
  <c r="T23" i="14"/>
  <c r="U23" i="14" s="1"/>
  <c r="Y23" i="14" s="1"/>
  <c r="X20" i="14"/>
  <c r="Y20" i="14"/>
  <c r="W20" i="14"/>
  <c r="V20" i="14"/>
  <c r="X21" i="14"/>
  <c r="W22" i="14"/>
  <c r="V22" i="14"/>
  <c r="Y21" i="14"/>
  <c r="X22" i="14"/>
  <c r="AA20" i="14"/>
  <c r="Y22" i="14"/>
  <c r="V21" i="14"/>
  <c r="Y38" i="19"/>
  <c r="E21" i="19"/>
  <c r="E22" i="19" s="1"/>
  <c r="Y20" i="19"/>
  <c r="AA12" i="19"/>
  <c r="R11" i="19"/>
  <c r="S11" i="19" s="1"/>
  <c r="H14" i="18"/>
  <c r="H15" i="18" s="1"/>
  <c r="H16" i="18" s="1"/>
  <c r="D14" i="18"/>
  <c r="Z22" i="14" l="1"/>
  <c r="V23" i="14"/>
  <c r="W23" i="14"/>
  <c r="X23" i="14"/>
  <c r="Z21" i="14"/>
  <c r="Z20" i="14"/>
  <c r="T11" i="19"/>
  <c r="X40" i="19"/>
  <c r="Z11" i="19"/>
  <c r="I17" i="18"/>
  <c r="Z23" i="14" l="1"/>
  <c r="Y40" i="19"/>
  <c r="R20" i="19"/>
  <c r="R21" i="19" s="1"/>
  <c r="T13" i="19"/>
  <c r="W37" i="19"/>
  <c r="Z13" i="19"/>
  <c r="Y29" i="19" s="1"/>
  <c r="X42" i="19"/>
  <c r="V11" i="19"/>
  <c r="Y27" i="19"/>
  <c r="U11" i="19"/>
  <c r="X11" i="19"/>
  <c r="W11" i="19"/>
  <c r="W39" i="19"/>
  <c r="Y39" i="19" s="1"/>
  <c r="X45" i="19"/>
  <c r="Y45" i="19" s="1"/>
  <c r="X43" i="19"/>
  <c r="X44" i="19"/>
  <c r="Y11" i="19" l="1"/>
  <c r="W13" i="19"/>
  <c r="W14" i="19" s="1"/>
  <c r="W43" i="19"/>
  <c r="Y43" i="19" s="1"/>
  <c r="Y13" i="19"/>
  <c r="Y22" i="19" s="1"/>
  <c r="Y26" i="19"/>
  <c r="T14" i="19"/>
  <c r="X41" i="19"/>
  <c r="W41" i="19"/>
  <c r="U13" i="19"/>
  <c r="AA11" i="19"/>
  <c r="AA13" i="19" s="1"/>
  <c r="AA19" i="19" s="1"/>
  <c r="V13" i="19"/>
  <c r="W42" i="19"/>
  <c r="Y42" i="19" s="1"/>
  <c r="W44" i="19"/>
  <c r="Y44" i="19" s="1"/>
  <c r="X13" i="19"/>
  <c r="X14" i="19" s="1"/>
  <c r="Y37" i="19"/>
  <c r="W46" i="19" l="1"/>
  <c r="U49" i="19"/>
  <c r="X46" i="19"/>
  <c r="Y28" i="19"/>
  <c r="Y31" i="19" s="1"/>
  <c r="Y33" i="19" s="1"/>
  <c r="U14" i="19"/>
  <c r="V14" i="19"/>
  <c r="AA22" i="19"/>
  <c r="Y41" i="19"/>
  <c r="Y46" i="19" s="1"/>
  <c r="AA46" i="19" s="1"/>
  <c r="F53" i="14" l="1"/>
  <c r="Z70" i="14"/>
  <c r="Z52" i="14"/>
  <c r="AB44" i="14"/>
  <c r="S42" i="14"/>
  <c r="T42" i="14" s="1"/>
  <c r="U42" i="14" s="1"/>
  <c r="S41" i="14"/>
  <c r="T41" i="14" s="1"/>
  <c r="U41" i="14" s="1"/>
  <c r="S40" i="14"/>
  <c r="AA40" i="14" s="1"/>
  <c r="AB39" i="14"/>
  <c r="S38" i="14"/>
  <c r="T38" i="14" s="1"/>
  <c r="U38" i="14" s="1"/>
  <c r="AF37" i="14"/>
  <c r="S37" i="14"/>
  <c r="S36" i="14"/>
  <c r="T36" i="14" s="1"/>
  <c r="U36" i="14" s="1"/>
  <c r="AB35" i="14"/>
  <c r="S43" i="14"/>
  <c r="T43" i="14" s="1"/>
  <c r="U43" i="14" s="1"/>
  <c r="S34" i="14"/>
  <c r="S33" i="14"/>
  <c r="S32" i="14"/>
  <c r="T32" i="14" s="1"/>
  <c r="U32" i="14" s="1"/>
  <c r="AB31" i="14"/>
  <c r="S30" i="14"/>
  <c r="T30" i="14" s="1"/>
  <c r="U30" i="14" s="1"/>
  <c r="S29" i="14"/>
  <c r="T29" i="14" s="1"/>
  <c r="U29" i="14" s="1"/>
  <c r="S28" i="14"/>
  <c r="AA28" i="14" s="1"/>
  <c r="S27" i="14"/>
  <c r="AA27" i="14" s="1"/>
  <c r="S26" i="14"/>
  <c r="T26" i="14" s="1"/>
  <c r="U26" i="14" s="1"/>
  <c r="S25" i="14"/>
  <c r="AA25" i="14" s="1"/>
  <c r="AB24" i="14"/>
  <c r="S19" i="14"/>
  <c r="T19" i="14" s="1"/>
  <c r="U19" i="14" s="1"/>
  <c r="S17" i="14"/>
  <c r="AB16" i="14"/>
  <c r="S15" i="14"/>
  <c r="T15" i="14" s="1"/>
  <c r="U15" i="14" s="1"/>
  <c r="S14" i="14"/>
  <c r="AA14" i="14" s="1"/>
  <c r="S13" i="14"/>
  <c r="T13" i="14" s="1"/>
  <c r="U13" i="14" s="1"/>
  <c r="S12" i="14"/>
  <c r="T12" i="14" s="1"/>
  <c r="U12" i="14" s="1"/>
  <c r="AB11" i="14"/>
  <c r="S10" i="14"/>
  <c r="AA10" i="14" s="1"/>
  <c r="Z70" i="13"/>
  <c r="Z52" i="13"/>
  <c r="AB44" i="13"/>
  <c r="S43" i="13"/>
  <c r="T43" i="13" s="1"/>
  <c r="U43" i="13" s="1"/>
  <c r="S42" i="13"/>
  <c r="AA42" i="13" s="1"/>
  <c r="AA41" i="13"/>
  <c r="S41" i="13"/>
  <c r="T41" i="13" s="1"/>
  <c r="U41" i="13" s="1"/>
  <c r="AB40" i="13"/>
  <c r="S39" i="13"/>
  <c r="AA39" i="13" s="1"/>
  <c r="AF38" i="13"/>
  <c r="S38" i="13"/>
  <c r="AA38" i="13" s="1"/>
  <c r="S37" i="13"/>
  <c r="T37" i="13" s="1"/>
  <c r="U37" i="13" s="1"/>
  <c r="AB36" i="13"/>
  <c r="S35" i="13"/>
  <c r="T35" i="13" s="1"/>
  <c r="U35" i="13" s="1"/>
  <c r="S34" i="13"/>
  <c r="T34" i="13" s="1"/>
  <c r="U34" i="13" s="1"/>
  <c r="S33" i="13"/>
  <c r="T33" i="13" s="1"/>
  <c r="U33" i="13" s="1"/>
  <c r="S32" i="13"/>
  <c r="AB31" i="13"/>
  <c r="S30" i="13"/>
  <c r="AA30" i="13" s="1"/>
  <c r="S29" i="13"/>
  <c r="AA29" i="13" s="1"/>
  <c r="AA28" i="13"/>
  <c r="U28" i="13"/>
  <c r="S28" i="13"/>
  <c r="T28" i="13" s="1"/>
  <c r="T27" i="13"/>
  <c r="U27" i="13" s="1"/>
  <c r="S27" i="13"/>
  <c r="AA27" i="13" s="1"/>
  <c r="S26" i="13"/>
  <c r="AA26" i="13" s="1"/>
  <c r="S25" i="13"/>
  <c r="AA25" i="13" s="1"/>
  <c r="AB24" i="13"/>
  <c r="S23" i="13"/>
  <c r="T23" i="13" s="1"/>
  <c r="U23" i="13" s="1"/>
  <c r="S22" i="13"/>
  <c r="T22" i="13" s="1"/>
  <c r="U22" i="13" s="1"/>
  <c r="W22" i="13" s="1"/>
  <c r="S21" i="13"/>
  <c r="T21" i="13" s="1"/>
  <c r="U21" i="13" s="1"/>
  <c r="S20" i="13"/>
  <c r="AA20" i="13" s="1"/>
  <c r="S19" i="13"/>
  <c r="AA19" i="13" s="1"/>
  <c r="S17" i="13"/>
  <c r="T17" i="13" s="1"/>
  <c r="U17" i="13" s="1"/>
  <c r="AB16" i="13"/>
  <c r="S15" i="13"/>
  <c r="T15" i="13" s="1"/>
  <c r="U15" i="13" s="1"/>
  <c r="W15" i="13" s="1"/>
  <c r="S14" i="13"/>
  <c r="AA14" i="13" s="1"/>
  <c r="S13" i="13"/>
  <c r="T13" i="13" s="1"/>
  <c r="U13" i="13" s="1"/>
  <c r="A13" i="13"/>
  <c r="S12" i="13"/>
  <c r="A12" i="13"/>
  <c r="A14" i="13" s="1"/>
  <c r="A15" i="13" s="1"/>
  <c r="A17" i="13" s="1"/>
  <c r="A19" i="13" s="1"/>
  <c r="A20" i="13" s="1"/>
  <c r="A21" i="13" s="1"/>
  <c r="A22" i="13" s="1"/>
  <c r="A23" i="13" s="1"/>
  <c r="A25" i="13" s="1"/>
  <c r="A26" i="13" s="1"/>
  <c r="A27" i="13" s="1"/>
  <c r="A28" i="13" s="1"/>
  <c r="A29" i="13" s="1"/>
  <c r="A30" i="13" s="1"/>
  <c r="A32" i="13" s="1"/>
  <c r="A33" i="13" s="1"/>
  <c r="A34" i="13" s="1"/>
  <c r="A35" i="13" s="1"/>
  <c r="A37" i="13" s="1"/>
  <c r="A38" i="13" s="1"/>
  <c r="A39" i="13" s="1"/>
  <c r="A41" i="13" s="1"/>
  <c r="A42" i="13" s="1"/>
  <c r="A43" i="13" s="1"/>
  <c r="AB11" i="13"/>
  <c r="S10" i="13"/>
  <c r="T10" i="13" s="1"/>
  <c r="U10" i="13" s="1"/>
  <c r="S13" i="11"/>
  <c r="T13" i="11" s="1"/>
  <c r="U13" i="11" s="1"/>
  <c r="A13" i="11"/>
  <c r="Z69" i="12"/>
  <c r="Z51" i="12"/>
  <c r="AB43" i="12"/>
  <c r="S42" i="12"/>
  <c r="T42" i="12" s="1"/>
  <c r="U42" i="12" s="1"/>
  <c r="S41" i="12"/>
  <c r="T41" i="12" s="1"/>
  <c r="U41" i="12" s="1"/>
  <c r="S40" i="12"/>
  <c r="AA40" i="12" s="1"/>
  <c r="AB39" i="12"/>
  <c r="S38" i="12"/>
  <c r="T38" i="12" s="1"/>
  <c r="U38" i="12" s="1"/>
  <c r="V38" i="12" s="1"/>
  <c r="AF37" i="12"/>
  <c r="S37" i="12"/>
  <c r="S36" i="12"/>
  <c r="T36" i="12" s="1"/>
  <c r="U36" i="12" s="1"/>
  <c r="AB35" i="12"/>
  <c r="S34" i="12"/>
  <c r="T34" i="12" s="1"/>
  <c r="U34" i="12" s="1"/>
  <c r="S33" i="12"/>
  <c r="AA33" i="12" s="1"/>
  <c r="S32" i="12"/>
  <c r="T32" i="12" s="1"/>
  <c r="U32" i="12" s="1"/>
  <c r="S31" i="12"/>
  <c r="T31" i="12" s="1"/>
  <c r="U31" i="12" s="1"/>
  <c r="AB30" i="12"/>
  <c r="S29" i="12"/>
  <c r="T29" i="12" s="1"/>
  <c r="U29" i="12" s="1"/>
  <c r="S28" i="12"/>
  <c r="AA28" i="12" s="1"/>
  <c r="T27" i="12"/>
  <c r="U27" i="12" s="1"/>
  <c r="S27" i="12"/>
  <c r="AA27" i="12" s="1"/>
  <c r="S26" i="12"/>
  <c r="T26" i="12" s="1"/>
  <c r="U26" i="12" s="1"/>
  <c r="V26" i="12" s="1"/>
  <c r="S25" i="12"/>
  <c r="T25" i="12" s="1"/>
  <c r="U25" i="12" s="1"/>
  <c r="S24" i="12"/>
  <c r="AA24" i="12" s="1"/>
  <c r="AB23" i="12"/>
  <c r="S22" i="12"/>
  <c r="AA22" i="12" s="1"/>
  <c r="U21" i="12"/>
  <c r="Y21" i="12" s="1"/>
  <c r="S21" i="12"/>
  <c r="T21" i="12" s="1"/>
  <c r="S20" i="12"/>
  <c r="T20" i="12" s="1"/>
  <c r="U20" i="12" s="1"/>
  <c r="S19" i="12"/>
  <c r="T19" i="12" s="1"/>
  <c r="U19" i="12" s="1"/>
  <c r="S18" i="12"/>
  <c r="AA18" i="12" s="1"/>
  <c r="S16" i="12"/>
  <c r="T16" i="12" s="1"/>
  <c r="U16" i="12" s="1"/>
  <c r="V16" i="12" s="1"/>
  <c r="AB15" i="12"/>
  <c r="S14" i="12"/>
  <c r="T14" i="12" s="1"/>
  <c r="U14" i="12" s="1"/>
  <c r="W14" i="12" s="1"/>
  <c r="S13" i="12"/>
  <c r="T13" i="12" s="1"/>
  <c r="U13" i="12" s="1"/>
  <c r="S12" i="12"/>
  <c r="AA12" i="12" s="1"/>
  <c r="A12" i="12"/>
  <c r="A13" i="12" s="1"/>
  <c r="A14" i="12" s="1"/>
  <c r="A16" i="12" s="1"/>
  <c r="A18" i="12" s="1"/>
  <c r="A19" i="12" s="1"/>
  <c r="A20" i="12" s="1"/>
  <c r="A21" i="12" s="1"/>
  <c r="A22" i="12" s="1"/>
  <c r="A24" i="12" s="1"/>
  <c r="A25" i="12" s="1"/>
  <c r="A26" i="12" s="1"/>
  <c r="A27" i="12" s="1"/>
  <c r="A28" i="12" s="1"/>
  <c r="A29" i="12" s="1"/>
  <c r="A31" i="12" s="1"/>
  <c r="A32" i="12" s="1"/>
  <c r="A33" i="12" s="1"/>
  <c r="A34" i="12" s="1"/>
  <c r="A36" i="12" s="1"/>
  <c r="A37" i="12" s="1"/>
  <c r="A38" i="12" s="1"/>
  <c r="A40" i="12" s="1"/>
  <c r="A41" i="12" s="1"/>
  <c r="A42" i="12" s="1"/>
  <c r="AB11" i="12"/>
  <c r="S10" i="12"/>
  <c r="AA10" i="12" s="1"/>
  <c r="Z70" i="11"/>
  <c r="Z52" i="11"/>
  <c r="AB44" i="11"/>
  <c r="S43" i="11"/>
  <c r="T43" i="11" s="1"/>
  <c r="U43" i="11" s="1"/>
  <c r="S42" i="11"/>
  <c r="T42" i="11" s="1"/>
  <c r="U42" i="11" s="1"/>
  <c r="S41" i="11"/>
  <c r="T41" i="11" s="1"/>
  <c r="U41" i="11" s="1"/>
  <c r="AB40" i="11"/>
  <c r="S39" i="11"/>
  <c r="T39" i="11" s="1"/>
  <c r="U39" i="11" s="1"/>
  <c r="AF38" i="11"/>
  <c r="S38" i="11"/>
  <c r="T38" i="11" s="1"/>
  <c r="U38" i="11" s="1"/>
  <c r="S37" i="11"/>
  <c r="AA37" i="11" s="1"/>
  <c r="AB36" i="11"/>
  <c r="S35" i="11"/>
  <c r="AA35" i="11" s="1"/>
  <c r="S34" i="11"/>
  <c r="S33" i="11"/>
  <c r="T33" i="11" s="1"/>
  <c r="U33" i="11" s="1"/>
  <c r="S32" i="11"/>
  <c r="AB31" i="11"/>
  <c r="S30" i="11"/>
  <c r="T30" i="11" s="1"/>
  <c r="U30" i="11" s="1"/>
  <c r="V30" i="11" s="1"/>
  <c r="S29" i="11"/>
  <c r="T29" i="11" s="1"/>
  <c r="U29" i="11" s="1"/>
  <c r="S28" i="11"/>
  <c r="AA28" i="11" s="1"/>
  <c r="S27" i="11"/>
  <c r="S26" i="11"/>
  <c r="S25" i="11"/>
  <c r="AB24" i="11"/>
  <c r="S23" i="11"/>
  <c r="S22" i="11"/>
  <c r="T22" i="11" s="1"/>
  <c r="U22" i="11" s="1"/>
  <c r="S21" i="11"/>
  <c r="S20" i="11"/>
  <c r="T20" i="11" s="1"/>
  <c r="U20" i="11" s="1"/>
  <c r="S19" i="11"/>
  <c r="T19" i="11" s="1"/>
  <c r="U19" i="11" s="1"/>
  <c r="S17" i="11"/>
  <c r="T17" i="11" s="1"/>
  <c r="U17" i="11" s="1"/>
  <c r="AB16" i="11"/>
  <c r="S15" i="11"/>
  <c r="T15" i="11" s="1"/>
  <c r="U15" i="11" s="1"/>
  <c r="S14" i="11"/>
  <c r="T14" i="11" s="1"/>
  <c r="U14" i="11" s="1"/>
  <c r="S12" i="11"/>
  <c r="T12" i="11" s="1"/>
  <c r="U12" i="11" s="1"/>
  <c r="W12" i="11" s="1"/>
  <c r="A12" i="11"/>
  <c r="A14" i="11" s="1"/>
  <c r="A15" i="11" s="1"/>
  <c r="A17" i="11" s="1"/>
  <c r="A19" i="11" s="1"/>
  <c r="A20" i="11" s="1"/>
  <c r="A21" i="11" s="1"/>
  <c r="A22" i="11" s="1"/>
  <c r="A23" i="11" s="1"/>
  <c r="A25" i="11" s="1"/>
  <c r="A26" i="11" s="1"/>
  <c r="A27" i="11" s="1"/>
  <c r="A28" i="11" s="1"/>
  <c r="A29" i="11" s="1"/>
  <c r="A30" i="11" s="1"/>
  <c r="A32" i="11" s="1"/>
  <c r="A33" i="11" s="1"/>
  <c r="A34" i="11" s="1"/>
  <c r="A35" i="11" s="1"/>
  <c r="A37" i="11" s="1"/>
  <c r="A38" i="11" s="1"/>
  <c r="A39" i="11" s="1"/>
  <c r="A41" i="11" s="1"/>
  <c r="A42" i="11" s="1"/>
  <c r="A43" i="11" s="1"/>
  <c r="AB11" i="11"/>
  <c r="S10" i="11"/>
  <c r="T10" i="11" s="1"/>
  <c r="U10" i="11" s="1"/>
  <c r="Z69" i="10"/>
  <c r="Z51" i="10"/>
  <c r="AB43" i="10"/>
  <c r="S42" i="10"/>
  <c r="T42" i="10" s="1"/>
  <c r="U42" i="10" s="1"/>
  <c r="U39" i="10" s="1"/>
  <c r="S41" i="10"/>
  <c r="AA41" i="10" s="1"/>
  <c r="S40" i="10"/>
  <c r="AA40" i="10" s="1"/>
  <c r="S38" i="10"/>
  <c r="T38" i="10" s="1"/>
  <c r="U38" i="10" s="1"/>
  <c r="U35" i="10" s="1"/>
  <c r="AF37" i="10"/>
  <c r="S37" i="10"/>
  <c r="T37" i="10" s="1"/>
  <c r="U37" i="10" s="1"/>
  <c r="S36" i="10"/>
  <c r="T36" i="10" s="1"/>
  <c r="U36" i="10" s="1"/>
  <c r="AB35" i="10"/>
  <c r="S34" i="10"/>
  <c r="AA34" i="10" s="1"/>
  <c r="S33" i="10"/>
  <c r="T33" i="10" s="1"/>
  <c r="U33" i="10" s="1"/>
  <c r="S32" i="10"/>
  <c r="AA32" i="10" s="1"/>
  <c r="S31" i="10"/>
  <c r="AA31" i="10" s="1"/>
  <c r="S29" i="10"/>
  <c r="T29" i="10" s="1"/>
  <c r="U29" i="10" s="1"/>
  <c r="S28" i="10"/>
  <c r="T28" i="10" s="1"/>
  <c r="U28" i="10" s="1"/>
  <c r="S27" i="10"/>
  <c r="T27" i="10" s="1"/>
  <c r="U27" i="10" s="1"/>
  <c r="S26" i="10"/>
  <c r="AA26" i="10" s="1"/>
  <c r="S25" i="10"/>
  <c r="AA25" i="10" s="1"/>
  <c r="S24" i="10"/>
  <c r="AA24" i="10" s="1"/>
  <c r="AB23" i="10"/>
  <c r="S22" i="10"/>
  <c r="T22" i="10" s="1"/>
  <c r="U22" i="10" s="1"/>
  <c r="S21" i="10"/>
  <c r="AA21" i="10" s="1"/>
  <c r="S20" i="10"/>
  <c r="T20" i="10" s="1"/>
  <c r="U20" i="10" s="1"/>
  <c r="S19" i="10"/>
  <c r="T19" i="10" s="1"/>
  <c r="U19" i="10" s="1"/>
  <c r="S18" i="10"/>
  <c r="T18" i="10" s="1"/>
  <c r="U18" i="10" s="1"/>
  <c r="S16" i="10"/>
  <c r="T16" i="10" s="1"/>
  <c r="U16" i="10" s="1"/>
  <c r="AB15" i="10"/>
  <c r="S14" i="10"/>
  <c r="AA14" i="10" s="1"/>
  <c r="S13" i="10"/>
  <c r="AA13" i="10" s="1"/>
  <c r="S12" i="10"/>
  <c r="AA12" i="10" s="1"/>
  <c r="A12" i="10"/>
  <c r="A13" i="10" s="1"/>
  <c r="A14" i="10" s="1"/>
  <c r="A16" i="10" s="1"/>
  <c r="A18" i="10" s="1"/>
  <c r="A19" i="10" s="1"/>
  <c r="A20" i="10" s="1"/>
  <c r="A21" i="10" s="1"/>
  <c r="A22" i="10" s="1"/>
  <c r="A24" i="10" s="1"/>
  <c r="A25" i="10" s="1"/>
  <c r="A26" i="10" s="1"/>
  <c r="A27" i="10" s="1"/>
  <c r="A28" i="10" s="1"/>
  <c r="A29" i="10" s="1"/>
  <c r="A31" i="10" s="1"/>
  <c r="A32" i="10" s="1"/>
  <c r="A33" i="10" s="1"/>
  <c r="A34" i="10" s="1"/>
  <c r="A36" i="10" s="1"/>
  <c r="A37" i="10" s="1"/>
  <c r="A38" i="10" s="1"/>
  <c r="A40" i="10" s="1"/>
  <c r="A41" i="10" s="1"/>
  <c r="A42" i="10" s="1"/>
  <c r="AB11" i="10"/>
  <c r="S10" i="10"/>
  <c r="AA10" i="10" s="1"/>
  <c r="Z69" i="9"/>
  <c r="Z51" i="9"/>
  <c r="AB43" i="9"/>
  <c r="S42" i="9"/>
  <c r="T42" i="9" s="1"/>
  <c r="U42" i="9" s="1"/>
  <c r="X42" i="9" s="1"/>
  <c r="S41" i="9"/>
  <c r="T41" i="9" s="1"/>
  <c r="U41" i="9" s="1"/>
  <c r="S40" i="9"/>
  <c r="AA40" i="9" s="1"/>
  <c r="AB39" i="9"/>
  <c r="S38" i="9"/>
  <c r="T38" i="9" s="1"/>
  <c r="U38" i="9" s="1"/>
  <c r="Y38" i="9" s="1"/>
  <c r="AF37" i="9"/>
  <c r="S37" i="9"/>
  <c r="T37" i="9" s="1"/>
  <c r="U37" i="9" s="1"/>
  <c r="Y37" i="9" s="1"/>
  <c r="S36" i="9"/>
  <c r="AA36" i="9" s="1"/>
  <c r="AB35" i="9"/>
  <c r="S34" i="9"/>
  <c r="T34" i="9" s="1"/>
  <c r="U34" i="9" s="1"/>
  <c r="S33" i="9"/>
  <c r="T33" i="9" s="1"/>
  <c r="U33" i="9" s="1"/>
  <c r="Y33" i="9" s="1"/>
  <c r="S32" i="9"/>
  <c r="T32" i="9" s="1"/>
  <c r="U32" i="9" s="1"/>
  <c r="S31" i="9"/>
  <c r="AA31" i="9" s="1"/>
  <c r="AB30" i="9"/>
  <c r="S29" i="9"/>
  <c r="T29" i="9" s="1"/>
  <c r="U29" i="9" s="1"/>
  <c r="S28" i="9"/>
  <c r="T28" i="9" s="1"/>
  <c r="U28" i="9" s="1"/>
  <c r="S27" i="9"/>
  <c r="AA27" i="9" s="1"/>
  <c r="S26" i="9"/>
  <c r="T26" i="9" s="1"/>
  <c r="U26" i="9" s="1"/>
  <c r="S25" i="9"/>
  <c r="AA25" i="9" s="1"/>
  <c r="S24" i="9"/>
  <c r="AA24" i="9" s="1"/>
  <c r="AB23" i="9"/>
  <c r="S22" i="9"/>
  <c r="T22" i="9" s="1"/>
  <c r="U22" i="9" s="1"/>
  <c r="S21" i="9"/>
  <c r="AA21" i="9" s="1"/>
  <c r="S20" i="9"/>
  <c r="AA20" i="9" s="1"/>
  <c r="S19" i="9"/>
  <c r="AA19" i="9" s="1"/>
  <c r="S18" i="9"/>
  <c r="T18" i="9" s="1"/>
  <c r="U18" i="9" s="1"/>
  <c r="S16" i="9"/>
  <c r="T16" i="9" s="1"/>
  <c r="U16" i="9" s="1"/>
  <c r="AB15" i="9"/>
  <c r="S14" i="9"/>
  <c r="T14" i="9" s="1"/>
  <c r="U14" i="9" s="1"/>
  <c r="Y14" i="9" s="1"/>
  <c r="S13" i="9"/>
  <c r="AA13" i="9" s="1"/>
  <c r="S12" i="9"/>
  <c r="T12" i="9" s="1"/>
  <c r="U12" i="9" s="1"/>
  <c r="A12" i="9"/>
  <c r="A13" i="9" s="1"/>
  <c r="A14" i="9" s="1"/>
  <c r="A16" i="9" s="1"/>
  <c r="A18" i="9" s="1"/>
  <c r="A19" i="9" s="1"/>
  <c r="A20" i="9" s="1"/>
  <c r="A21" i="9" s="1"/>
  <c r="A22" i="9" s="1"/>
  <c r="A24" i="9" s="1"/>
  <c r="A25" i="9" s="1"/>
  <c r="A26" i="9" s="1"/>
  <c r="A27" i="9" s="1"/>
  <c r="A28" i="9" s="1"/>
  <c r="A29" i="9" s="1"/>
  <c r="A31" i="9" s="1"/>
  <c r="A32" i="9" s="1"/>
  <c r="A33" i="9" s="1"/>
  <c r="A34" i="9" s="1"/>
  <c r="A36" i="9" s="1"/>
  <c r="A37" i="9" s="1"/>
  <c r="A38" i="9" s="1"/>
  <c r="A40" i="9" s="1"/>
  <c r="A41" i="9" s="1"/>
  <c r="A42" i="9" s="1"/>
  <c r="AB11" i="9"/>
  <c r="S10" i="9"/>
  <c r="T10" i="9" s="1"/>
  <c r="U10" i="9" s="1"/>
  <c r="Z69" i="8"/>
  <c r="Z51" i="8"/>
  <c r="AB43" i="8"/>
  <c r="S42" i="8"/>
  <c r="T42" i="8" s="1"/>
  <c r="U42" i="8" s="1"/>
  <c r="S41" i="8"/>
  <c r="S40" i="8"/>
  <c r="T40" i="8" s="1"/>
  <c r="U40" i="8" s="1"/>
  <c r="AB39" i="8"/>
  <c r="S38" i="8"/>
  <c r="T38" i="8" s="1"/>
  <c r="U38" i="8" s="1"/>
  <c r="AF37" i="8"/>
  <c r="S37" i="8"/>
  <c r="T37" i="8" s="1"/>
  <c r="U37" i="8" s="1"/>
  <c r="S36" i="8"/>
  <c r="AA36" i="8" s="1"/>
  <c r="AB35" i="8"/>
  <c r="S34" i="8"/>
  <c r="T34" i="8" s="1"/>
  <c r="U34" i="8" s="1"/>
  <c r="S33" i="8"/>
  <c r="S32" i="8"/>
  <c r="T32" i="8" s="1"/>
  <c r="U32" i="8" s="1"/>
  <c r="S31" i="8"/>
  <c r="T31" i="8" s="1"/>
  <c r="U31" i="8" s="1"/>
  <c r="AB30" i="8"/>
  <c r="S29" i="8"/>
  <c r="S28" i="8"/>
  <c r="AA28" i="8" s="1"/>
  <c r="S27" i="8"/>
  <c r="T27" i="8" s="1"/>
  <c r="U27" i="8" s="1"/>
  <c r="S26" i="8"/>
  <c r="AA26" i="8" s="1"/>
  <c r="S25" i="8"/>
  <c r="AA25" i="8" s="1"/>
  <c r="S24" i="8"/>
  <c r="T24" i="8" s="1"/>
  <c r="U24" i="8" s="1"/>
  <c r="AB23" i="8"/>
  <c r="S22" i="8"/>
  <c r="T22" i="8" s="1"/>
  <c r="U22" i="8" s="1"/>
  <c r="S21" i="8"/>
  <c r="T21" i="8" s="1"/>
  <c r="U21" i="8" s="1"/>
  <c r="S20" i="8"/>
  <c r="T20" i="8" s="1"/>
  <c r="U20" i="8" s="1"/>
  <c r="S19" i="8"/>
  <c r="AA19" i="8" s="1"/>
  <c r="S18" i="8"/>
  <c r="AA18" i="8" s="1"/>
  <c r="S16" i="8"/>
  <c r="T16" i="8" s="1"/>
  <c r="U16" i="8" s="1"/>
  <c r="AB15" i="8"/>
  <c r="S14" i="8"/>
  <c r="T14" i="8" s="1"/>
  <c r="U14" i="8" s="1"/>
  <c r="S13" i="8"/>
  <c r="AA13" i="8" s="1"/>
  <c r="S12" i="8"/>
  <c r="T12" i="8" s="1"/>
  <c r="U12" i="8" s="1"/>
  <c r="A12" i="8"/>
  <c r="A13" i="8" s="1"/>
  <c r="A14" i="8" s="1"/>
  <c r="A16" i="8" s="1"/>
  <c r="A18" i="8" s="1"/>
  <c r="A19" i="8" s="1"/>
  <c r="A20" i="8" s="1"/>
  <c r="A21" i="8" s="1"/>
  <c r="A22" i="8" s="1"/>
  <c r="A24" i="8" s="1"/>
  <c r="A25" i="8" s="1"/>
  <c r="A26" i="8" s="1"/>
  <c r="A27" i="8" s="1"/>
  <c r="A28" i="8" s="1"/>
  <c r="A29" i="8" s="1"/>
  <c r="A31" i="8" s="1"/>
  <c r="A32" i="8" s="1"/>
  <c r="A33" i="8" s="1"/>
  <c r="A34" i="8" s="1"/>
  <c r="A36" i="8" s="1"/>
  <c r="A37" i="8" s="1"/>
  <c r="A38" i="8" s="1"/>
  <c r="A40" i="8" s="1"/>
  <c r="A41" i="8" s="1"/>
  <c r="A42" i="8" s="1"/>
  <c r="AB11" i="8"/>
  <c r="S10" i="8"/>
  <c r="AA10" i="8" s="1"/>
  <c r="T28" i="11" l="1"/>
  <c r="U28" i="11" s="1"/>
  <c r="T12" i="12"/>
  <c r="U12" i="12" s="1"/>
  <c r="T22" i="12"/>
  <c r="U22" i="12" s="1"/>
  <c r="AA34" i="9"/>
  <c r="W16" i="12"/>
  <c r="AA14" i="11"/>
  <c r="T18" i="12"/>
  <c r="U18" i="12" s="1"/>
  <c r="V18" i="12" s="1"/>
  <c r="AA10" i="13"/>
  <c r="X69" i="13" s="1"/>
  <c r="T24" i="12"/>
  <c r="U24" i="12" s="1"/>
  <c r="Y24" i="12" s="1"/>
  <c r="T10" i="12"/>
  <c r="U10" i="12" s="1"/>
  <c r="AA19" i="11"/>
  <c r="AA23" i="13"/>
  <c r="T33" i="12"/>
  <c r="U33" i="12" s="1"/>
  <c r="W33" i="12" s="1"/>
  <c r="AA39" i="11"/>
  <c r="AA22" i="13"/>
  <c r="Y13" i="12"/>
  <c r="V13" i="12"/>
  <c r="AA42" i="11"/>
  <c r="AA33" i="13"/>
  <c r="T18" i="8"/>
  <c r="U18" i="8" s="1"/>
  <c r="U17" i="10"/>
  <c r="V17" i="10" s="1"/>
  <c r="AA30" i="11"/>
  <c r="T37" i="11"/>
  <c r="U37" i="11" s="1"/>
  <c r="Y37" i="11" s="1"/>
  <c r="W26" i="12"/>
  <c r="T29" i="13"/>
  <c r="U29" i="13" s="1"/>
  <c r="Y29" i="13" s="1"/>
  <c r="T39" i="13"/>
  <c r="U39" i="13" s="1"/>
  <c r="Y39" i="13" s="1"/>
  <c r="AA21" i="13"/>
  <c r="T25" i="8"/>
  <c r="U25" i="8" s="1"/>
  <c r="W25" i="8" s="1"/>
  <c r="AA38" i="11"/>
  <c r="AA15" i="11"/>
  <c r="AA17" i="13"/>
  <c r="AA13" i="13"/>
  <c r="T28" i="8"/>
  <c r="U28" i="8" s="1"/>
  <c r="V21" i="12"/>
  <c r="X24" i="12"/>
  <c r="T40" i="12"/>
  <c r="U40" i="12" s="1"/>
  <c r="X40" i="12" s="1"/>
  <c r="T30" i="13"/>
  <c r="U30" i="13" s="1"/>
  <c r="AA35" i="13"/>
  <c r="T28" i="12"/>
  <c r="U28" i="12" s="1"/>
  <c r="W28" i="12" s="1"/>
  <c r="AA43" i="11"/>
  <c r="T14" i="13"/>
  <c r="U14" i="13" s="1"/>
  <c r="AA34" i="13"/>
  <c r="F54" i="14"/>
  <c r="I15" i="18"/>
  <c r="T10" i="14"/>
  <c r="T14" i="14"/>
  <c r="U14" i="14" s="1"/>
  <c r="X14" i="14" s="1"/>
  <c r="T25" i="9"/>
  <c r="U25" i="9" s="1"/>
  <c r="T20" i="9"/>
  <c r="U20" i="9" s="1"/>
  <c r="Y20" i="9" s="1"/>
  <c r="T27" i="14"/>
  <c r="U27" i="14" s="1"/>
  <c r="V27" i="14" s="1"/>
  <c r="T25" i="14"/>
  <c r="U25" i="14" s="1"/>
  <c r="X25" i="14" s="1"/>
  <c r="T37" i="14"/>
  <c r="U37" i="14" s="1"/>
  <c r="Y37" i="14" s="1"/>
  <c r="T33" i="14"/>
  <c r="U33" i="14" s="1"/>
  <c r="Y33" i="14" s="1"/>
  <c r="V38" i="14"/>
  <c r="Y38" i="14"/>
  <c r="X38" i="14"/>
  <c r="W38" i="14"/>
  <c r="X69" i="14"/>
  <c r="X43" i="14"/>
  <c r="W43" i="14"/>
  <c r="V43" i="14"/>
  <c r="Y43" i="14"/>
  <c r="Y14" i="14"/>
  <c r="W29" i="14"/>
  <c r="V29" i="14"/>
  <c r="Y29" i="14"/>
  <c r="X29" i="14"/>
  <c r="W41" i="14"/>
  <c r="V41" i="14"/>
  <c r="X41" i="14"/>
  <c r="Y41" i="14"/>
  <c r="Y30" i="14"/>
  <c r="X30" i="14"/>
  <c r="W30" i="14"/>
  <c r="V30" i="14"/>
  <c r="Y42" i="14"/>
  <c r="X42" i="14"/>
  <c r="W42" i="14"/>
  <c r="V42" i="14"/>
  <c r="V15" i="14"/>
  <c r="Y15" i="14"/>
  <c r="X15" i="14"/>
  <c r="W15" i="14"/>
  <c r="W12" i="14"/>
  <c r="V12" i="14"/>
  <c r="X12" i="14"/>
  <c r="Y12" i="14"/>
  <c r="X32" i="14"/>
  <c r="W32" i="14"/>
  <c r="Y32" i="14"/>
  <c r="V32" i="14"/>
  <c r="Y36" i="14"/>
  <c r="X36" i="14"/>
  <c r="W36" i="14"/>
  <c r="V36" i="14"/>
  <c r="W19" i="14"/>
  <c r="V19" i="14"/>
  <c r="X19" i="14"/>
  <c r="Y19" i="14"/>
  <c r="X26" i="14"/>
  <c r="W26" i="14"/>
  <c r="V26" i="14"/>
  <c r="Y26" i="14"/>
  <c r="Y13" i="14"/>
  <c r="X13" i="14"/>
  <c r="W13" i="14"/>
  <c r="V13" i="14"/>
  <c r="T17" i="14"/>
  <c r="U17" i="14" s="1"/>
  <c r="T28" i="14"/>
  <c r="U28" i="14" s="1"/>
  <c r="T34" i="14"/>
  <c r="U34" i="14" s="1"/>
  <c r="T40" i="14"/>
  <c r="U40" i="14" s="1"/>
  <c r="AA26" i="14"/>
  <c r="AA32" i="14"/>
  <c r="AA12" i="14"/>
  <c r="AA19" i="14"/>
  <c r="AA29" i="14"/>
  <c r="AA15" i="14"/>
  <c r="AA36" i="14"/>
  <c r="T42" i="13"/>
  <c r="U42" i="13" s="1"/>
  <c r="V42" i="13" s="1"/>
  <c r="T20" i="13"/>
  <c r="U20" i="13" s="1"/>
  <c r="Y20" i="13" s="1"/>
  <c r="W14" i="13"/>
  <c r="V14" i="13"/>
  <c r="Y14" i="13"/>
  <c r="Y21" i="13"/>
  <c r="X21" i="13"/>
  <c r="W21" i="13"/>
  <c r="W33" i="13"/>
  <c r="Y33" i="13"/>
  <c r="X33" i="13"/>
  <c r="V33" i="13"/>
  <c r="X37" i="13"/>
  <c r="V37" i="13"/>
  <c r="Y37" i="13"/>
  <c r="W37" i="13"/>
  <c r="V41" i="13"/>
  <c r="X41" i="13"/>
  <c r="W41" i="13"/>
  <c r="Y41" i="13"/>
  <c r="X43" i="13"/>
  <c r="V43" i="13"/>
  <c r="Y43" i="13"/>
  <c r="W43" i="13"/>
  <c r="X10" i="13"/>
  <c r="X71" i="13"/>
  <c r="Z71" i="13" s="1"/>
  <c r="Z59" i="13"/>
  <c r="Y10" i="13"/>
  <c r="W10" i="13"/>
  <c r="V10" i="13"/>
  <c r="Y13" i="13"/>
  <c r="W13" i="13"/>
  <c r="V13" i="13"/>
  <c r="X14" i="13"/>
  <c r="V21" i="13"/>
  <c r="Z21" i="13" s="1"/>
  <c r="X28" i="13"/>
  <c r="Y28" i="13"/>
  <c r="W28" i="13"/>
  <c r="V28" i="13"/>
  <c r="W29" i="13"/>
  <c r="V29" i="13"/>
  <c r="V30" i="13"/>
  <c r="X30" i="13"/>
  <c r="W30" i="13"/>
  <c r="AA32" i="13"/>
  <c r="T32" i="13"/>
  <c r="U32" i="13" s="1"/>
  <c r="Y34" i="13"/>
  <c r="V34" i="13"/>
  <c r="X34" i="13"/>
  <c r="W34" i="13"/>
  <c r="Z10" i="13"/>
  <c r="T12" i="13"/>
  <c r="U12" i="13" s="1"/>
  <c r="AA12" i="13"/>
  <c r="X13" i="13"/>
  <c r="X17" i="13"/>
  <c r="Y17" i="13"/>
  <c r="W17" i="13"/>
  <c r="W23" i="13"/>
  <c r="V23" i="13"/>
  <c r="Y23" i="13"/>
  <c r="W27" i="13"/>
  <c r="Y27" i="13"/>
  <c r="X27" i="13"/>
  <c r="V27" i="13"/>
  <c r="Y30" i="13"/>
  <c r="X35" i="13"/>
  <c r="W35" i="13"/>
  <c r="V35" i="13"/>
  <c r="Y35" i="13"/>
  <c r="X15" i="13"/>
  <c r="V15" i="13"/>
  <c r="Y15" i="13"/>
  <c r="V17" i="13"/>
  <c r="X22" i="13"/>
  <c r="V22" i="13"/>
  <c r="Y22" i="13"/>
  <c r="X23" i="13"/>
  <c r="V39" i="13"/>
  <c r="T19" i="13"/>
  <c r="U19" i="13" s="1"/>
  <c r="T25" i="13"/>
  <c r="U25" i="13" s="1"/>
  <c r="T26" i="13"/>
  <c r="U26" i="13" s="1"/>
  <c r="T38" i="13"/>
  <c r="U38" i="13" s="1"/>
  <c r="W39" i="13"/>
  <c r="AA15" i="13"/>
  <c r="AA37" i="13"/>
  <c r="X39" i="13"/>
  <c r="AA43" i="13"/>
  <c r="W13" i="11"/>
  <c r="V13" i="11"/>
  <c r="Y13" i="11"/>
  <c r="X13" i="11"/>
  <c r="AA29" i="11"/>
  <c r="AA12" i="11"/>
  <c r="T23" i="11"/>
  <c r="U23" i="11" s="1"/>
  <c r="Y23" i="11" s="1"/>
  <c r="T21" i="11"/>
  <c r="U21" i="11" s="1"/>
  <c r="Y21" i="11" s="1"/>
  <c r="AA20" i="11"/>
  <c r="Y14" i="11"/>
  <c r="W14" i="11"/>
  <c r="V14" i="11"/>
  <c r="V12" i="11"/>
  <c r="T34" i="11"/>
  <c r="U34" i="11" s="1"/>
  <c r="X34" i="11" s="1"/>
  <c r="V20" i="12"/>
  <c r="Y20" i="12"/>
  <c r="X20" i="12"/>
  <c r="W20" i="12"/>
  <c r="X29" i="12"/>
  <c r="W29" i="12"/>
  <c r="Y29" i="12"/>
  <c r="V29" i="12"/>
  <c r="W10" i="12"/>
  <c r="V10" i="12"/>
  <c r="Z58" i="12"/>
  <c r="Y10" i="12"/>
  <c r="X70" i="12"/>
  <c r="Z70" i="12" s="1"/>
  <c r="X10" i="12"/>
  <c r="W12" i="12"/>
  <c r="V12" i="12"/>
  <c r="Y12" i="12"/>
  <c r="X12" i="12"/>
  <c r="W18" i="12"/>
  <c r="X18" i="12"/>
  <c r="Y18" i="12"/>
  <c r="X25" i="12"/>
  <c r="W25" i="12"/>
  <c r="Y25" i="12"/>
  <c r="V25" i="12"/>
  <c r="X34" i="12"/>
  <c r="W34" i="12"/>
  <c r="Y34" i="12"/>
  <c r="V34" i="12"/>
  <c r="X41" i="12"/>
  <c r="W41" i="12"/>
  <c r="V41" i="12"/>
  <c r="Y41" i="12"/>
  <c r="AA14" i="12"/>
  <c r="X19" i="12"/>
  <c r="W19" i="12"/>
  <c r="AA20" i="12"/>
  <c r="V22" i="12"/>
  <c r="Y22" i="12"/>
  <c r="V27" i="12"/>
  <c r="Y27" i="12"/>
  <c r="X31" i="12"/>
  <c r="W31" i="12"/>
  <c r="X36" i="12"/>
  <c r="W36" i="12"/>
  <c r="V14" i="12"/>
  <c r="V19" i="12"/>
  <c r="W22" i="12"/>
  <c r="W27" i="12"/>
  <c r="V31" i="12"/>
  <c r="Y32" i="12"/>
  <c r="X32" i="12"/>
  <c r="AA32" i="12"/>
  <c r="V36" i="12"/>
  <c r="T37" i="12"/>
  <c r="U37" i="12" s="1"/>
  <c r="AA37" i="12"/>
  <c r="Y19" i="12"/>
  <c r="X22" i="12"/>
  <c r="Y26" i="12"/>
  <c r="X26" i="12"/>
  <c r="AA26" i="12"/>
  <c r="X27" i="12"/>
  <c r="Y31" i="12"/>
  <c r="V32" i="12"/>
  <c r="Y36" i="12"/>
  <c r="Y38" i="12"/>
  <c r="X38" i="12"/>
  <c r="W38" i="12"/>
  <c r="Y42" i="12"/>
  <c r="W42" i="12"/>
  <c r="X42" i="12"/>
  <c r="Y14" i="12"/>
  <c r="X14" i="12"/>
  <c r="X68" i="12"/>
  <c r="X13" i="12"/>
  <c r="W13" i="12"/>
  <c r="Y16" i="12"/>
  <c r="X16" i="12"/>
  <c r="X21" i="12"/>
  <c r="W21" i="12"/>
  <c r="W24" i="12"/>
  <c r="V24" i="12"/>
  <c r="V28" i="12"/>
  <c r="W32" i="12"/>
  <c r="V33" i="12"/>
  <c r="Y33" i="12"/>
  <c r="W40" i="12"/>
  <c r="V42" i="12"/>
  <c r="AA13" i="12"/>
  <c r="AA19" i="12"/>
  <c r="AA21" i="12"/>
  <c r="AA25" i="12"/>
  <c r="AA29" i="12"/>
  <c r="AA31" i="12"/>
  <c r="AA34" i="12"/>
  <c r="AA36" i="12"/>
  <c r="AA41" i="12"/>
  <c r="X71" i="11"/>
  <c r="Z71" i="11" s="1"/>
  <c r="Z59" i="11"/>
  <c r="X10" i="11"/>
  <c r="V10" i="11"/>
  <c r="Y10" i="11"/>
  <c r="V15" i="11"/>
  <c r="Y15" i="11"/>
  <c r="X15" i="11"/>
  <c r="W15" i="11"/>
  <c r="V17" i="11"/>
  <c r="X17" i="11"/>
  <c r="W17" i="11"/>
  <c r="X29" i="11"/>
  <c r="Y29" i="11"/>
  <c r="W29" i="11"/>
  <c r="V33" i="11"/>
  <c r="W33" i="11"/>
  <c r="Y33" i="11"/>
  <c r="X33" i="11"/>
  <c r="V39" i="11"/>
  <c r="W39" i="11"/>
  <c r="X39" i="11"/>
  <c r="Y39" i="11"/>
  <c r="V43" i="11"/>
  <c r="Y43" i="11"/>
  <c r="X43" i="11"/>
  <c r="W43" i="11"/>
  <c r="W10" i="11"/>
  <c r="Y17" i="11"/>
  <c r="T25" i="11"/>
  <c r="U25" i="11" s="1"/>
  <c r="AA25" i="11"/>
  <c r="T27" i="11"/>
  <c r="U27" i="11" s="1"/>
  <c r="AA27" i="11"/>
  <c r="W28" i="11"/>
  <c r="X28" i="11"/>
  <c r="Y28" i="11"/>
  <c r="V29" i="11"/>
  <c r="V38" i="11"/>
  <c r="X38" i="11"/>
  <c r="Y38" i="11"/>
  <c r="W38" i="11"/>
  <c r="Y22" i="11"/>
  <c r="X22" i="11"/>
  <c r="V22" i="11"/>
  <c r="W22" i="11"/>
  <c r="V28" i="11"/>
  <c r="X41" i="11"/>
  <c r="W41" i="11"/>
  <c r="Y41" i="11"/>
  <c r="V41" i="11"/>
  <c r="X19" i="11"/>
  <c r="Y19" i="11"/>
  <c r="V19" i="11"/>
  <c r="W19" i="11"/>
  <c r="Y20" i="11"/>
  <c r="X20" i="11"/>
  <c r="V20" i="11"/>
  <c r="W20" i="11"/>
  <c r="T26" i="11"/>
  <c r="U26" i="11" s="1"/>
  <c r="AA26" i="11"/>
  <c r="Y30" i="11"/>
  <c r="X30" i="11"/>
  <c r="W30" i="11"/>
  <c r="T32" i="11"/>
  <c r="U32" i="11" s="1"/>
  <c r="AA32" i="11"/>
  <c r="Y42" i="11"/>
  <c r="X42" i="11"/>
  <c r="W42" i="11"/>
  <c r="V42" i="11"/>
  <c r="Y12" i="11"/>
  <c r="X14" i="11"/>
  <c r="T35" i="11"/>
  <c r="U35" i="11" s="1"/>
  <c r="W37" i="11"/>
  <c r="AA41" i="11"/>
  <c r="V37" i="11"/>
  <c r="AA10" i="11"/>
  <c r="X12" i="11"/>
  <c r="X37" i="11"/>
  <c r="W39" i="10"/>
  <c r="V39" i="10"/>
  <c r="Y34" i="8"/>
  <c r="V34" i="8"/>
  <c r="X34" i="8"/>
  <c r="W34" i="8"/>
  <c r="T40" i="9"/>
  <c r="U40" i="9" s="1"/>
  <c r="Y40" i="9" s="1"/>
  <c r="AA33" i="9"/>
  <c r="T13" i="10"/>
  <c r="U13" i="10" s="1"/>
  <c r="Y13" i="10" s="1"/>
  <c r="T21" i="9"/>
  <c r="U21" i="9" s="1"/>
  <c r="Y21" i="9" s="1"/>
  <c r="T27" i="9"/>
  <c r="U27" i="9" s="1"/>
  <c r="AA29" i="9"/>
  <c r="T26" i="8"/>
  <c r="U26" i="8" s="1"/>
  <c r="W26" i="8" s="1"/>
  <c r="T41" i="8"/>
  <c r="U41" i="8" s="1"/>
  <c r="AA18" i="9"/>
  <c r="T36" i="9"/>
  <c r="U36" i="9" s="1"/>
  <c r="V36" i="9" s="1"/>
  <c r="T10" i="8"/>
  <c r="U10" i="8" s="1"/>
  <c r="Z58" i="8" s="1"/>
  <c r="T13" i="9"/>
  <c r="U13" i="9" s="1"/>
  <c r="Y13" i="9" s="1"/>
  <c r="AA28" i="9"/>
  <c r="T31" i="9"/>
  <c r="U31" i="9" s="1"/>
  <c r="V31" i="9" s="1"/>
  <c r="AA32" i="9"/>
  <c r="Y39" i="10"/>
  <c r="X39" i="10"/>
  <c r="T40" i="10"/>
  <c r="U40" i="10" s="1"/>
  <c r="V40" i="10" s="1"/>
  <c r="T41" i="10"/>
  <c r="U41" i="10" s="1"/>
  <c r="V41" i="10" s="1"/>
  <c r="T34" i="10"/>
  <c r="U34" i="10" s="1"/>
  <c r="Y34" i="10" s="1"/>
  <c r="T31" i="10"/>
  <c r="U31" i="10" s="1"/>
  <c r="V31" i="10" s="1"/>
  <c r="T24" i="10"/>
  <c r="U24" i="10" s="1"/>
  <c r="Y24" i="10" s="1"/>
  <c r="T25" i="10"/>
  <c r="U25" i="10" s="1"/>
  <c r="Y25" i="10" s="1"/>
  <c r="T21" i="10"/>
  <c r="U21" i="10" s="1"/>
  <c r="Y21" i="10" s="1"/>
  <c r="T12" i="10"/>
  <c r="U12" i="10" s="1"/>
  <c r="Y12" i="10" s="1"/>
  <c r="Y29" i="10"/>
  <c r="X29" i="10"/>
  <c r="W29" i="10"/>
  <c r="V29" i="10"/>
  <c r="W16" i="10"/>
  <c r="V16" i="10"/>
  <c r="Y16" i="10"/>
  <c r="X16" i="10"/>
  <c r="Y36" i="10"/>
  <c r="X36" i="10"/>
  <c r="W36" i="10"/>
  <c r="V36" i="10"/>
  <c r="V19" i="10"/>
  <c r="Y19" i="10"/>
  <c r="W19" i="10"/>
  <c r="X19" i="10"/>
  <c r="X18" i="10"/>
  <c r="W18" i="10"/>
  <c r="V18" i="10"/>
  <c r="Y18" i="10"/>
  <c r="X20" i="10"/>
  <c r="V20" i="10"/>
  <c r="W20" i="10"/>
  <c r="Y20" i="10"/>
  <c r="Y42" i="10"/>
  <c r="X42" i="10"/>
  <c r="W42" i="10"/>
  <c r="V42" i="10"/>
  <c r="V24" i="10"/>
  <c r="X33" i="10"/>
  <c r="W33" i="10"/>
  <c r="V33" i="10"/>
  <c r="Y33" i="10"/>
  <c r="Y38" i="10"/>
  <c r="X38" i="10"/>
  <c r="W38" i="10"/>
  <c r="V38" i="10"/>
  <c r="V13" i="10"/>
  <c r="V21" i="10"/>
  <c r="X21" i="10"/>
  <c r="W21" i="10"/>
  <c r="X27" i="10"/>
  <c r="W27" i="10"/>
  <c r="V27" i="10"/>
  <c r="Y27" i="10"/>
  <c r="W37" i="10"/>
  <c r="V37" i="10"/>
  <c r="Y37" i="10"/>
  <c r="X37" i="10"/>
  <c r="X68" i="10"/>
  <c r="Y22" i="10"/>
  <c r="X22" i="10"/>
  <c r="V22" i="10"/>
  <c r="W22" i="10"/>
  <c r="Y28" i="10"/>
  <c r="W28" i="10"/>
  <c r="X28" i="10"/>
  <c r="V28" i="10"/>
  <c r="AA27" i="10"/>
  <c r="AA33" i="10"/>
  <c r="T14" i="10"/>
  <c r="U14" i="10" s="1"/>
  <c r="AA19" i="10"/>
  <c r="T26" i="10"/>
  <c r="U26" i="10" s="1"/>
  <c r="AA29" i="10"/>
  <c r="T32" i="10"/>
  <c r="U32" i="10" s="1"/>
  <c r="U30" i="10" s="1"/>
  <c r="AA36" i="10"/>
  <c r="AA20" i="10"/>
  <c r="AA18" i="10"/>
  <c r="AA37" i="10"/>
  <c r="AA28" i="10"/>
  <c r="T10" i="10"/>
  <c r="U10" i="10" s="1"/>
  <c r="AA22" i="10"/>
  <c r="AA37" i="9"/>
  <c r="AA41" i="9"/>
  <c r="V38" i="9"/>
  <c r="W38" i="9"/>
  <c r="X38" i="9"/>
  <c r="X70" i="9"/>
  <c r="Z70" i="9" s="1"/>
  <c r="Z58" i="9"/>
  <c r="Y10" i="9"/>
  <c r="X10" i="9"/>
  <c r="W10" i="9"/>
  <c r="V10" i="9"/>
  <c r="Y18" i="9"/>
  <c r="V18" i="9"/>
  <c r="X18" i="9"/>
  <c r="W18" i="9"/>
  <c r="Y25" i="9"/>
  <c r="X25" i="9"/>
  <c r="W25" i="9"/>
  <c r="V25" i="9"/>
  <c r="Y28" i="9"/>
  <c r="V28" i="9"/>
  <c r="X28" i="9"/>
  <c r="W28" i="9"/>
  <c r="X13" i="9"/>
  <c r="V13" i="9"/>
  <c r="V34" i="9"/>
  <c r="Y34" i="9"/>
  <c r="V12" i="9"/>
  <c r="AA22" i="9"/>
  <c r="W29" i="9"/>
  <c r="V29" i="9"/>
  <c r="W34" i="9"/>
  <c r="X37" i="9"/>
  <c r="W37" i="9"/>
  <c r="V37" i="9"/>
  <c r="X12" i="9"/>
  <c r="Y32" i="9"/>
  <c r="X32" i="9"/>
  <c r="W32" i="9"/>
  <c r="V32" i="9"/>
  <c r="X34" i="9"/>
  <c r="X41" i="9"/>
  <c r="W41" i="9"/>
  <c r="V41" i="9"/>
  <c r="W12" i="9"/>
  <c r="X26" i="9"/>
  <c r="W26" i="9"/>
  <c r="V26" i="9"/>
  <c r="Y29" i="9"/>
  <c r="Y41" i="9"/>
  <c r="Y31" i="9"/>
  <c r="X16" i="9"/>
  <c r="Y16" i="9"/>
  <c r="AA10" i="9"/>
  <c r="Y26" i="9"/>
  <c r="X14" i="9"/>
  <c r="W14" i="9"/>
  <c r="V14" i="9"/>
  <c r="X29" i="9"/>
  <c r="Y12" i="9"/>
  <c r="W16" i="9"/>
  <c r="AA14" i="9"/>
  <c r="W33" i="9"/>
  <c r="V33" i="9"/>
  <c r="V42" i="9"/>
  <c r="Y42" i="9"/>
  <c r="Y22" i="9"/>
  <c r="X22" i="9"/>
  <c r="V22" i="9"/>
  <c r="W22" i="9"/>
  <c r="V16" i="9"/>
  <c r="X33" i="9"/>
  <c r="W42" i="9"/>
  <c r="AA26" i="9"/>
  <c r="AA12" i="9"/>
  <c r="T19" i="9"/>
  <c r="U19" i="9" s="1"/>
  <c r="T24" i="9"/>
  <c r="U24" i="9" s="1"/>
  <c r="X28" i="8"/>
  <c r="V28" i="8"/>
  <c r="W28" i="8"/>
  <c r="Y28" i="8"/>
  <c r="X68" i="8"/>
  <c r="W21" i="8"/>
  <c r="V21" i="8"/>
  <c r="X21" i="8"/>
  <c r="Y21" i="8"/>
  <c r="Y32" i="8"/>
  <c r="W32" i="8"/>
  <c r="V32" i="8"/>
  <c r="X32" i="8"/>
  <c r="W31" i="8"/>
  <c r="V31" i="8"/>
  <c r="Y31" i="8"/>
  <c r="X31" i="8"/>
  <c r="Y22" i="8"/>
  <c r="X22" i="8"/>
  <c r="W22" i="8"/>
  <c r="V22" i="8"/>
  <c r="Y42" i="8"/>
  <c r="X42" i="8"/>
  <c r="W42" i="8"/>
  <c r="V42" i="8"/>
  <c r="Y20" i="8"/>
  <c r="X20" i="8"/>
  <c r="W20" i="8"/>
  <c r="V20" i="8"/>
  <c r="X37" i="8"/>
  <c r="W37" i="8"/>
  <c r="V37" i="8"/>
  <c r="Y37" i="8"/>
  <c r="Y12" i="8"/>
  <c r="X12" i="8"/>
  <c r="V12" i="8"/>
  <c r="W12" i="8"/>
  <c r="Y40" i="8"/>
  <c r="X40" i="8"/>
  <c r="W40" i="8"/>
  <c r="V40" i="8"/>
  <c r="Y16" i="8"/>
  <c r="X16" i="8"/>
  <c r="W16" i="8"/>
  <c r="V16" i="8"/>
  <c r="V26" i="8"/>
  <c r="Y26" i="8"/>
  <c r="Y27" i="8"/>
  <c r="X27" i="8"/>
  <c r="W27" i="8"/>
  <c r="V27" i="8"/>
  <c r="W14" i="8"/>
  <c r="Y14" i="8"/>
  <c r="X14" i="8"/>
  <c r="V14" i="8"/>
  <c r="Y24" i="8"/>
  <c r="X24" i="8"/>
  <c r="W24" i="8"/>
  <c r="V24" i="8"/>
  <c r="V18" i="8"/>
  <c r="X18" i="8"/>
  <c r="Y18" i="8"/>
  <c r="W18" i="8"/>
  <c r="AA12" i="8"/>
  <c r="T19" i="8"/>
  <c r="U19" i="8" s="1"/>
  <c r="T29" i="8"/>
  <c r="U29" i="8" s="1"/>
  <c r="T36" i="8"/>
  <c r="U36" i="8" s="1"/>
  <c r="AA20" i="8"/>
  <c r="T33" i="8"/>
  <c r="U33" i="8" s="1"/>
  <c r="W38" i="8"/>
  <c r="T13" i="8"/>
  <c r="U13" i="8" s="1"/>
  <c r="AA21" i="8"/>
  <c r="AA31" i="8"/>
  <c r="X38" i="8"/>
  <c r="AA24" i="8"/>
  <c r="AA27" i="8"/>
  <c r="V38" i="8"/>
  <c r="AA40" i="8"/>
  <c r="Y38" i="8"/>
  <c r="AA14" i="8"/>
  <c r="AA22" i="8"/>
  <c r="Y41" i="10" l="1"/>
  <c r="Z21" i="12"/>
  <c r="AB10" i="13"/>
  <c r="V40" i="9"/>
  <c r="W40" i="10"/>
  <c r="Z16" i="12"/>
  <c r="AB16" i="12" s="1"/>
  <c r="AA45" i="13"/>
  <c r="Z61" i="13" s="1"/>
  <c r="W40" i="9"/>
  <c r="X40" i="10"/>
  <c r="Y42" i="13"/>
  <c r="Z12" i="12"/>
  <c r="W36" i="9"/>
  <c r="X20" i="9"/>
  <c r="W13" i="10"/>
  <c r="Y40" i="10"/>
  <c r="Z40" i="10" s="1"/>
  <c r="AB40" i="10" s="1"/>
  <c r="Z13" i="12"/>
  <c r="AB13" i="12" s="1"/>
  <c r="W42" i="13"/>
  <c r="X70" i="8"/>
  <c r="Z70" i="8" s="1"/>
  <c r="X21" i="9"/>
  <c r="X13" i="10"/>
  <c r="Z13" i="10" s="1"/>
  <c r="AB13" i="10" s="1"/>
  <c r="Z24" i="12"/>
  <c r="AB24" i="12" s="1"/>
  <c r="Z31" i="12"/>
  <c r="Z36" i="10"/>
  <c r="AB36" i="10" s="1"/>
  <c r="Z39" i="13"/>
  <c r="Z23" i="13"/>
  <c r="X33" i="12"/>
  <c r="Z34" i="8"/>
  <c r="AB34" i="8" s="1"/>
  <c r="Z10" i="11"/>
  <c r="Z29" i="12"/>
  <c r="AB29" i="12" s="1"/>
  <c r="X25" i="10"/>
  <c r="Z26" i="12"/>
  <c r="AB26" i="12" s="1"/>
  <c r="Z19" i="12"/>
  <c r="Z15" i="13"/>
  <c r="Z28" i="13"/>
  <c r="AB28" i="13" s="1"/>
  <c r="Z13" i="13"/>
  <c r="AB13" i="13" s="1"/>
  <c r="Z43" i="13"/>
  <c r="AB43" i="13" s="1"/>
  <c r="X34" i="10"/>
  <c r="Z29" i="10"/>
  <c r="Z25" i="12"/>
  <c r="Z42" i="8"/>
  <c r="AB42" i="8" s="1"/>
  <c r="Z22" i="9"/>
  <c r="Y34" i="11"/>
  <c r="Y25" i="8"/>
  <c r="X26" i="8"/>
  <c r="Z26" i="8" s="1"/>
  <c r="AB26" i="8" s="1"/>
  <c r="W21" i="9"/>
  <c r="W31" i="10"/>
  <c r="Y17" i="10"/>
  <c r="V25" i="8"/>
  <c r="V40" i="12"/>
  <c r="Y71" i="12"/>
  <c r="Z27" i="13"/>
  <c r="AB27" i="13" s="1"/>
  <c r="X20" i="13"/>
  <c r="Z22" i="10"/>
  <c r="Z39" i="10"/>
  <c r="AB39" i="10" s="1"/>
  <c r="Z18" i="12"/>
  <c r="AB18" i="12" s="1"/>
  <c r="Z20" i="12"/>
  <c r="W20" i="13"/>
  <c r="Z30" i="13"/>
  <c r="AB30" i="13" s="1"/>
  <c r="Z14" i="13"/>
  <c r="AB14" i="13" s="1"/>
  <c r="W13" i="9"/>
  <c r="Z13" i="9" s="1"/>
  <c r="AB13" i="9" s="1"/>
  <c r="V34" i="10"/>
  <c r="V34" i="11"/>
  <c r="Z27" i="12"/>
  <c r="AB27" i="12" s="1"/>
  <c r="Z35" i="13"/>
  <c r="AB35" i="13" s="1"/>
  <c r="X29" i="13"/>
  <c r="Z41" i="13"/>
  <c r="AB41" i="13" s="1"/>
  <c r="W14" i="14"/>
  <c r="X36" i="9"/>
  <c r="U44" i="10"/>
  <c r="Z33" i="12"/>
  <c r="Z41" i="12"/>
  <c r="AB41" i="12" s="1"/>
  <c r="Z38" i="8"/>
  <c r="X31" i="9"/>
  <c r="V21" i="9"/>
  <c r="W41" i="10"/>
  <c r="W25" i="10"/>
  <c r="W12" i="10"/>
  <c r="W34" i="11"/>
  <c r="X42" i="13"/>
  <c r="Z42" i="13" s="1"/>
  <c r="AB42" i="13" s="1"/>
  <c r="Z37" i="13"/>
  <c r="Z29" i="13"/>
  <c r="AB29" i="13" s="1"/>
  <c r="W17" i="10"/>
  <c r="X25" i="8"/>
  <c r="Z36" i="12"/>
  <c r="AB36" i="12" s="1"/>
  <c r="Z14" i="12"/>
  <c r="Z22" i="12"/>
  <c r="Y77" i="13"/>
  <c r="Z77" i="13" s="1"/>
  <c r="Z42" i="9"/>
  <c r="AB42" i="9" s="1"/>
  <c r="W31" i="9"/>
  <c r="Z31" i="9" s="1"/>
  <c r="AB31" i="9" s="1"/>
  <c r="X41" i="10"/>
  <c r="V25" i="10"/>
  <c r="X17" i="10"/>
  <c r="Z29" i="11"/>
  <c r="AB29" i="11" s="1"/>
  <c r="Y40" i="12"/>
  <c r="Z40" i="12" s="1"/>
  <c r="AB40" i="12" s="1"/>
  <c r="Z34" i="12"/>
  <c r="AB34" i="12" s="1"/>
  <c r="V20" i="13"/>
  <c r="Z20" i="13" s="1"/>
  <c r="Y72" i="13"/>
  <c r="Y72" i="14"/>
  <c r="X28" i="12"/>
  <c r="Y28" i="12"/>
  <c r="Y44" i="12" s="1"/>
  <c r="Y45" i="12" s="1"/>
  <c r="Z15" i="14"/>
  <c r="AB15" i="14" s="1"/>
  <c r="U45" i="14"/>
  <c r="Z26" i="14"/>
  <c r="AB26" i="14" s="1"/>
  <c r="W25" i="14"/>
  <c r="Y25" i="14"/>
  <c r="W27" i="14"/>
  <c r="V14" i="14"/>
  <c r="Y27" i="14"/>
  <c r="U10" i="14"/>
  <c r="S52" i="14"/>
  <c r="S53" i="14" s="1"/>
  <c r="Z36" i="14"/>
  <c r="AB36" i="14" s="1"/>
  <c r="V25" i="14"/>
  <c r="Z37" i="9"/>
  <c r="AB37" i="9" s="1"/>
  <c r="Y36" i="9"/>
  <c r="X40" i="9"/>
  <c r="W20" i="9"/>
  <c r="Z20" i="9" s="1"/>
  <c r="V20" i="9"/>
  <c r="X27" i="14"/>
  <c r="Z29" i="14"/>
  <c r="AB29" i="14" s="1"/>
  <c r="Z30" i="14"/>
  <c r="AB30" i="14" s="1"/>
  <c r="Z32" i="14"/>
  <c r="AB32" i="14" s="1"/>
  <c r="Z19" i="14"/>
  <c r="AB19" i="14" s="1"/>
  <c r="Z13" i="14"/>
  <c r="AB13" i="14" s="1"/>
  <c r="Z41" i="14"/>
  <c r="AB41" i="14" s="1"/>
  <c r="Z42" i="14"/>
  <c r="AB42" i="14" s="1"/>
  <c r="V37" i="14"/>
  <c r="W37" i="14"/>
  <c r="X37" i="14"/>
  <c r="Z38" i="14"/>
  <c r="W33" i="14"/>
  <c r="V33" i="14"/>
  <c r="X33" i="14"/>
  <c r="Z43" i="14"/>
  <c r="AB43" i="14" s="1"/>
  <c r="Y28" i="14"/>
  <c r="X28" i="14"/>
  <c r="W28" i="14"/>
  <c r="V28" i="14"/>
  <c r="Y17" i="14"/>
  <c r="X17" i="14"/>
  <c r="W17" i="14"/>
  <c r="V17" i="14"/>
  <c r="AA45" i="14"/>
  <c r="Z61" i="14" s="1"/>
  <c r="Z12" i="14"/>
  <c r="Z69" i="14"/>
  <c r="Y40" i="14"/>
  <c r="X40" i="14"/>
  <c r="W40" i="14"/>
  <c r="V40" i="14"/>
  <c r="Y34" i="14"/>
  <c r="X34" i="14"/>
  <c r="W34" i="14"/>
  <c r="V34" i="14"/>
  <c r="Z34" i="13"/>
  <c r="Z33" i="13"/>
  <c r="AB33" i="13" s="1"/>
  <c r="Z22" i="13"/>
  <c r="Z17" i="13"/>
  <c r="AB17" i="13" s="1"/>
  <c r="V19" i="13"/>
  <c r="Y19" i="13"/>
  <c r="X19" i="13"/>
  <c r="W19" i="13"/>
  <c r="X74" i="13"/>
  <c r="X75" i="13"/>
  <c r="Y25" i="13"/>
  <c r="V25" i="13"/>
  <c r="X25" i="13"/>
  <c r="W25" i="13"/>
  <c r="Z69" i="13"/>
  <c r="X76" i="13"/>
  <c r="V32" i="13"/>
  <c r="W32" i="13"/>
  <c r="Y32" i="13"/>
  <c r="X32" i="13"/>
  <c r="X73" i="13"/>
  <c r="Y38" i="13"/>
  <c r="V38" i="13"/>
  <c r="X38" i="13"/>
  <c r="W38" i="13"/>
  <c r="AB37" i="13"/>
  <c r="AB15" i="13"/>
  <c r="V26" i="13"/>
  <c r="Y26" i="13"/>
  <c r="X26" i="13"/>
  <c r="W26" i="13"/>
  <c r="X12" i="13"/>
  <c r="W12" i="13"/>
  <c r="V12" i="13"/>
  <c r="U45" i="13"/>
  <c r="Y12" i="13"/>
  <c r="Z13" i="11"/>
  <c r="AB13" i="11" s="1"/>
  <c r="V23" i="11"/>
  <c r="Z37" i="11"/>
  <c r="AB37" i="11" s="1"/>
  <c r="X23" i="11"/>
  <c r="Z14" i="11"/>
  <c r="AB14" i="11" s="1"/>
  <c r="W23" i="11"/>
  <c r="Z38" i="11"/>
  <c r="AB38" i="11" s="1"/>
  <c r="Z17" i="11"/>
  <c r="AB17" i="11" s="1"/>
  <c r="Z30" i="11"/>
  <c r="AB30" i="11" s="1"/>
  <c r="Z28" i="11"/>
  <c r="AB28" i="11" s="1"/>
  <c r="V21" i="11"/>
  <c r="X21" i="11"/>
  <c r="W21" i="11"/>
  <c r="Z39" i="11"/>
  <c r="AB12" i="12"/>
  <c r="X74" i="12"/>
  <c r="X72" i="12"/>
  <c r="AB25" i="12"/>
  <c r="Z42" i="12"/>
  <c r="AB42" i="12" s="1"/>
  <c r="Z71" i="12"/>
  <c r="Z10" i="12"/>
  <c r="AB10" i="12" s="1"/>
  <c r="Y76" i="12"/>
  <c r="Z76" i="12" s="1"/>
  <c r="AA44" i="12"/>
  <c r="Z60" i="12" s="1"/>
  <c r="Z38" i="12"/>
  <c r="Z32" i="12"/>
  <c r="AB32" i="12" s="1"/>
  <c r="AB14" i="12"/>
  <c r="X75" i="12"/>
  <c r="X73" i="12"/>
  <c r="AB31" i="12"/>
  <c r="Z68" i="12"/>
  <c r="Y37" i="12"/>
  <c r="Y75" i="12" s="1"/>
  <c r="W37" i="12"/>
  <c r="Y73" i="12" s="1"/>
  <c r="X37" i="12"/>
  <c r="X44" i="12" s="1"/>
  <c r="X45" i="12" s="1"/>
  <c r="V37" i="12"/>
  <c r="U44" i="12"/>
  <c r="Z43" i="11"/>
  <c r="AB43" i="11" s="1"/>
  <c r="Z42" i="11"/>
  <c r="AB42" i="11" s="1"/>
  <c r="Z34" i="11"/>
  <c r="Z33" i="11"/>
  <c r="AB33" i="11" s="1"/>
  <c r="Z41" i="11"/>
  <c r="AB41" i="11" s="1"/>
  <c r="Z20" i="11"/>
  <c r="Z19" i="11"/>
  <c r="AB19" i="11" s="1"/>
  <c r="Z15" i="11"/>
  <c r="AB15" i="11" s="1"/>
  <c r="AB10" i="11"/>
  <c r="X69" i="11"/>
  <c r="AA45" i="11"/>
  <c r="Z61" i="11" s="1"/>
  <c r="Y32" i="11"/>
  <c r="W32" i="11"/>
  <c r="X32" i="11"/>
  <c r="V32" i="11"/>
  <c r="X25" i="11"/>
  <c r="W25" i="11"/>
  <c r="V25" i="11"/>
  <c r="Y25" i="11"/>
  <c r="Y72" i="11"/>
  <c r="Z12" i="11"/>
  <c r="Y35" i="11"/>
  <c r="V35" i="11"/>
  <c r="W35" i="11"/>
  <c r="X35" i="11"/>
  <c r="X74" i="11"/>
  <c r="X76" i="11"/>
  <c r="U45" i="11"/>
  <c r="Y26" i="11"/>
  <c r="W26" i="11"/>
  <c r="V26" i="11"/>
  <c r="X26" i="11"/>
  <c r="Z22" i="11"/>
  <c r="V27" i="11"/>
  <c r="W27" i="11"/>
  <c r="Y27" i="11"/>
  <c r="X27" i="11"/>
  <c r="X73" i="11"/>
  <c r="Y77" i="11"/>
  <c r="Z77" i="11" s="1"/>
  <c r="X75" i="11"/>
  <c r="Z20" i="8"/>
  <c r="Z28" i="8"/>
  <c r="AB28" i="8" s="1"/>
  <c r="Z28" i="9"/>
  <c r="AB28" i="9" s="1"/>
  <c r="Z38" i="9"/>
  <c r="X31" i="10"/>
  <c r="V12" i="10"/>
  <c r="Z18" i="8"/>
  <c r="AB18" i="8" s="1"/>
  <c r="Z14" i="8"/>
  <c r="Z37" i="8"/>
  <c r="AB37" i="8" s="1"/>
  <c r="Z32" i="8"/>
  <c r="AB32" i="8" s="1"/>
  <c r="Z21" i="8"/>
  <c r="Z16" i="9"/>
  <c r="AB16" i="9" s="1"/>
  <c r="Z21" i="9"/>
  <c r="Y31" i="10"/>
  <c r="X12" i="10"/>
  <c r="W27" i="9"/>
  <c r="Y27" i="9"/>
  <c r="X27" i="9"/>
  <c r="V27" i="9"/>
  <c r="W30" i="10"/>
  <c r="V30" i="10"/>
  <c r="Y30" i="10"/>
  <c r="X30" i="10"/>
  <c r="Y41" i="8"/>
  <c r="X41" i="8"/>
  <c r="V41" i="8"/>
  <c r="W41" i="8"/>
  <c r="V10" i="8"/>
  <c r="Y10" i="8"/>
  <c r="X75" i="8" s="1"/>
  <c r="X10" i="8"/>
  <c r="X74" i="8" s="1"/>
  <c r="W10" i="8"/>
  <c r="X73" i="8" s="1"/>
  <c r="Z37" i="10"/>
  <c r="AB37" i="10" s="1"/>
  <c r="W34" i="10"/>
  <c r="Z34" i="10" s="1"/>
  <c r="AB34" i="10" s="1"/>
  <c r="Z31" i="10"/>
  <c r="AB31" i="10" s="1"/>
  <c r="Z27" i="10"/>
  <c r="AB27" i="10" s="1"/>
  <c r="W24" i="10"/>
  <c r="X24" i="10"/>
  <c r="Z28" i="10"/>
  <c r="AB28" i="10" s="1"/>
  <c r="Z21" i="10"/>
  <c r="Z19" i="10"/>
  <c r="Z12" i="10"/>
  <c r="AB12" i="10" s="1"/>
  <c r="Z16" i="10"/>
  <c r="AB16" i="10" s="1"/>
  <c r="Z18" i="10"/>
  <c r="AB18" i="10" s="1"/>
  <c r="Z38" i="10"/>
  <c r="Z42" i="10"/>
  <c r="AB42" i="10" s="1"/>
  <c r="Y71" i="10"/>
  <c r="Z71" i="10" s="1"/>
  <c r="Y76" i="10"/>
  <c r="Z76" i="10" s="1"/>
  <c r="Z33" i="10"/>
  <c r="AA44" i="10"/>
  <c r="Z60" i="10" s="1"/>
  <c r="Z20" i="10"/>
  <c r="W32" i="10"/>
  <c r="Y32" i="10"/>
  <c r="X32" i="10"/>
  <c r="V32" i="10"/>
  <c r="AB29" i="10"/>
  <c r="X70" i="10"/>
  <c r="Z70" i="10" s="1"/>
  <c r="Y10" i="10"/>
  <c r="Z58" i="10"/>
  <c r="W10" i="10"/>
  <c r="X10" i="10"/>
  <c r="V10" i="10"/>
  <c r="Y26" i="10"/>
  <c r="X26" i="10"/>
  <c r="W26" i="10"/>
  <c r="V26" i="10"/>
  <c r="Z68" i="10"/>
  <c r="Y14" i="10"/>
  <c r="W14" i="10"/>
  <c r="X14" i="10"/>
  <c r="V14" i="10"/>
  <c r="Z26" i="9"/>
  <c r="AB26" i="9" s="1"/>
  <c r="Z41" i="9"/>
  <c r="AB41" i="9" s="1"/>
  <c r="Z25" i="9"/>
  <c r="AB25" i="9" s="1"/>
  <c r="Y71" i="9"/>
  <c r="Z71" i="9" s="1"/>
  <c r="Z18" i="9"/>
  <c r="AB18" i="9" s="1"/>
  <c r="Z29" i="9"/>
  <c r="AB29" i="9" s="1"/>
  <c r="Z34" i="9"/>
  <c r="AB34" i="9" s="1"/>
  <c r="Z33" i="9"/>
  <c r="Z32" i="9"/>
  <c r="AB32" i="9" s="1"/>
  <c r="Z14" i="9"/>
  <c r="AB14" i="9" s="1"/>
  <c r="X72" i="9"/>
  <c r="X73" i="9"/>
  <c r="X68" i="9"/>
  <c r="AA44" i="9"/>
  <c r="Z60" i="9" s="1"/>
  <c r="U44" i="9"/>
  <c r="X74" i="9"/>
  <c r="V24" i="9"/>
  <c r="Y24" i="9"/>
  <c r="X24" i="9"/>
  <c r="W24" i="9"/>
  <c r="Z12" i="9"/>
  <c r="AB12" i="9" s="1"/>
  <c r="X75" i="9"/>
  <c r="W19" i="9"/>
  <c r="V19" i="9"/>
  <c r="Y19" i="9"/>
  <c r="X19" i="9"/>
  <c r="Z10" i="9"/>
  <c r="AB10" i="9" s="1"/>
  <c r="Y76" i="9"/>
  <c r="Z76" i="9" s="1"/>
  <c r="Z22" i="8"/>
  <c r="Z40" i="8"/>
  <c r="AB40" i="8" s="1"/>
  <c r="Z31" i="8"/>
  <c r="AB31" i="8" s="1"/>
  <c r="Z27" i="8"/>
  <c r="AB27" i="8" s="1"/>
  <c r="Z24" i="8"/>
  <c r="AB24" i="8" s="1"/>
  <c r="Z16" i="8"/>
  <c r="AB16" i="8" s="1"/>
  <c r="Y33" i="8"/>
  <c r="X33" i="8"/>
  <c r="W33" i="8"/>
  <c r="V33" i="8"/>
  <c r="Z12" i="8"/>
  <c r="AB12" i="8" s="1"/>
  <c r="Y29" i="8"/>
  <c r="X29" i="8"/>
  <c r="V29" i="8"/>
  <c r="W29" i="8"/>
  <c r="Y19" i="8"/>
  <c r="X19" i="8"/>
  <c r="W19" i="8"/>
  <c r="V19" i="8"/>
  <c r="Y36" i="8"/>
  <c r="X36" i="8"/>
  <c r="W36" i="8"/>
  <c r="V36" i="8"/>
  <c r="W13" i="8"/>
  <c r="V13" i="8"/>
  <c r="X13" i="8"/>
  <c r="Y13" i="8"/>
  <c r="Y76" i="8"/>
  <c r="Z76" i="8" s="1"/>
  <c r="U44" i="8"/>
  <c r="AA44" i="8"/>
  <c r="Z60" i="8" s="1"/>
  <c r="AB14" i="8"/>
  <c r="Y71" i="8"/>
  <c r="Z68" i="8"/>
  <c r="Z40" i="9" l="1"/>
  <c r="AB40" i="9" s="1"/>
  <c r="Z25" i="8"/>
  <c r="AB25" i="8" s="1"/>
  <c r="Z37" i="12"/>
  <c r="Z30" i="10"/>
  <c r="AB30" i="10" s="1"/>
  <c r="X77" i="12"/>
  <c r="Y72" i="12"/>
  <c r="Z25" i="10"/>
  <c r="AB25" i="10" s="1"/>
  <c r="Z36" i="9"/>
  <c r="AB36" i="9" s="1"/>
  <c r="Z28" i="12"/>
  <c r="AB28" i="12" s="1"/>
  <c r="Z41" i="10"/>
  <c r="AB41" i="10" s="1"/>
  <c r="Z17" i="10"/>
  <c r="AB17" i="10" s="1"/>
  <c r="Y74" i="13"/>
  <c r="V44" i="12"/>
  <c r="Z23" i="11"/>
  <c r="Y75" i="13"/>
  <c r="Z14" i="14"/>
  <c r="AB14" i="14" s="1"/>
  <c r="Y73" i="13"/>
  <c r="Z25" i="13"/>
  <c r="AB25" i="13" s="1"/>
  <c r="Y45" i="13"/>
  <c r="Y46" i="13" s="1"/>
  <c r="Y76" i="13"/>
  <c r="Z76" i="13" s="1"/>
  <c r="Z41" i="8"/>
  <c r="AB41" i="8" s="1"/>
  <c r="Z12" i="13"/>
  <c r="AB12" i="13" s="1"/>
  <c r="Z26" i="13"/>
  <c r="AB26" i="13" s="1"/>
  <c r="Z32" i="13"/>
  <c r="AB32" i="13" s="1"/>
  <c r="Z19" i="13"/>
  <c r="AB19" i="13" s="1"/>
  <c r="Z25" i="14"/>
  <c r="AB25" i="14" s="1"/>
  <c r="Z37" i="14"/>
  <c r="AB37" i="14" s="1"/>
  <c r="Z27" i="14"/>
  <c r="AB27" i="14" s="1"/>
  <c r="Y10" i="14"/>
  <c r="X10" i="14"/>
  <c r="W10" i="14"/>
  <c r="X71" i="14"/>
  <c r="Z71" i="14" s="1"/>
  <c r="Z59" i="14"/>
  <c r="V10" i="14"/>
  <c r="Y74" i="9"/>
  <c r="Z17" i="14"/>
  <c r="AB17" i="14" s="1"/>
  <c r="Z28" i="14"/>
  <c r="AB28" i="14" s="1"/>
  <c r="Z34" i="14"/>
  <c r="Y75" i="14"/>
  <c r="Z40" i="14"/>
  <c r="AB40" i="14" s="1"/>
  <c r="Y76" i="14"/>
  <c r="Y73" i="14"/>
  <c r="Y74" i="14"/>
  <c r="Z33" i="14"/>
  <c r="AB33" i="14" s="1"/>
  <c r="Z72" i="14"/>
  <c r="Z58" i="14"/>
  <c r="U46" i="14"/>
  <c r="AB12" i="14"/>
  <c r="Z38" i="13"/>
  <c r="AB38" i="13" s="1"/>
  <c r="U46" i="13"/>
  <c r="Z58" i="13"/>
  <c r="Z75" i="13"/>
  <c r="W45" i="13"/>
  <c r="W46" i="13" s="1"/>
  <c r="Z73" i="13"/>
  <c r="V45" i="13"/>
  <c r="Z74" i="13"/>
  <c r="Z72" i="13"/>
  <c r="X78" i="13"/>
  <c r="X45" i="13"/>
  <c r="X46" i="13" s="1"/>
  <c r="V45" i="11"/>
  <c r="V46" i="11" s="1"/>
  <c r="Z32" i="11"/>
  <c r="AB32" i="11" s="1"/>
  <c r="X45" i="11"/>
  <c r="X46" i="11" s="1"/>
  <c r="Z21" i="11"/>
  <c r="Z44" i="12"/>
  <c r="Z53" i="12" s="1"/>
  <c r="AB37" i="12"/>
  <c r="AB44" i="12" s="1"/>
  <c r="AB50" i="12" s="1"/>
  <c r="Z57" i="12"/>
  <c r="U45" i="12"/>
  <c r="Z75" i="12"/>
  <c r="V45" i="12"/>
  <c r="Z72" i="12"/>
  <c r="W44" i="12"/>
  <c r="W45" i="12" s="1"/>
  <c r="Y74" i="12"/>
  <c r="Y77" i="12" s="1"/>
  <c r="Z73" i="12"/>
  <c r="Y75" i="11"/>
  <c r="Z75" i="11" s="1"/>
  <c r="Z35" i="11"/>
  <c r="AB35" i="11" s="1"/>
  <c r="Z26" i="11"/>
  <c r="AB26" i="11" s="1"/>
  <c r="Y76" i="11"/>
  <c r="Z76" i="11" s="1"/>
  <c r="Y45" i="11"/>
  <c r="Y46" i="11" s="1"/>
  <c r="Y74" i="11"/>
  <c r="Z74" i="11" s="1"/>
  <c r="Z27" i="11"/>
  <c r="AB27" i="11" s="1"/>
  <c r="Y73" i="11"/>
  <c r="Z73" i="11" s="1"/>
  <c r="Z25" i="11"/>
  <c r="AB25" i="11" s="1"/>
  <c r="W45" i="11"/>
  <c r="W46" i="11" s="1"/>
  <c r="Z69" i="11"/>
  <c r="X78" i="11"/>
  <c r="U46" i="11"/>
  <c r="Z58" i="11"/>
  <c r="Z72" i="11"/>
  <c r="AB12" i="11"/>
  <c r="Y75" i="9"/>
  <c r="Z75" i="9" s="1"/>
  <c r="Z36" i="8"/>
  <c r="AB36" i="8" s="1"/>
  <c r="Z19" i="8"/>
  <c r="Z24" i="9"/>
  <c r="AB24" i="9" s="1"/>
  <c r="X72" i="8"/>
  <c r="X77" i="8" s="1"/>
  <c r="Z10" i="8"/>
  <c r="AB10" i="8" s="1"/>
  <c r="Z27" i="9"/>
  <c r="AB27" i="9" s="1"/>
  <c r="Z19" i="9"/>
  <c r="Y74" i="10"/>
  <c r="Z24" i="10"/>
  <c r="AB24" i="10" s="1"/>
  <c r="Y72" i="10"/>
  <c r="Z14" i="10"/>
  <c r="AB14" i="10" s="1"/>
  <c r="Z32" i="10"/>
  <c r="AB32" i="10" s="1"/>
  <c r="Y75" i="10"/>
  <c r="Z26" i="10"/>
  <c r="AB26" i="10" s="1"/>
  <c r="Y73" i="10"/>
  <c r="X74" i="10"/>
  <c r="X44" i="10"/>
  <c r="X45" i="10" s="1"/>
  <c r="W44" i="10"/>
  <c r="W45" i="10" s="1"/>
  <c r="X73" i="10"/>
  <c r="Z57" i="10"/>
  <c r="U45" i="10"/>
  <c r="X75" i="10"/>
  <c r="Y44" i="10"/>
  <c r="Y45" i="10" s="1"/>
  <c r="X72" i="10"/>
  <c r="V44" i="10"/>
  <c r="Z10" i="10"/>
  <c r="AB10" i="10" s="1"/>
  <c r="Y44" i="9"/>
  <c r="Y45" i="9" s="1"/>
  <c r="Y73" i="9"/>
  <c r="Z73" i="9" s="1"/>
  <c r="Y72" i="9"/>
  <c r="V44" i="9"/>
  <c r="V45" i="9" s="1"/>
  <c r="Z68" i="9"/>
  <c r="X77" i="9"/>
  <c r="W44" i="9"/>
  <c r="W45" i="9" s="1"/>
  <c r="X44" i="9"/>
  <c r="X45" i="9" s="1"/>
  <c r="Z74" i="9"/>
  <c r="Z57" i="9"/>
  <c r="U45" i="9"/>
  <c r="Z33" i="8"/>
  <c r="W44" i="8"/>
  <c r="W45" i="8" s="1"/>
  <c r="Z29" i="8"/>
  <c r="AB29" i="8" s="1"/>
  <c r="Y72" i="8"/>
  <c r="Z72" i="8" s="1"/>
  <c r="Y74" i="8"/>
  <c r="Z74" i="8" s="1"/>
  <c r="Y75" i="8"/>
  <c r="Z75" i="8" s="1"/>
  <c r="Z57" i="8"/>
  <c r="U45" i="8"/>
  <c r="Y44" i="8"/>
  <c r="Y45" i="8" s="1"/>
  <c r="X44" i="8"/>
  <c r="X45" i="8" s="1"/>
  <c r="Z71" i="8"/>
  <c r="Z13" i="8"/>
  <c r="AB13" i="8" s="1"/>
  <c r="Y73" i="8"/>
  <c r="Z73" i="8" s="1"/>
  <c r="V44" i="8"/>
  <c r="Z59" i="12" l="1"/>
  <c r="Z44" i="9"/>
  <c r="Z53" i="9" s="1"/>
  <c r="Z74" i="12"/>
  <c r="Z77" i="12" s="1"/>
  <c r="AB77" i="12" s="1"/>
  <c r="AB45" i="13"/>
  <c r="AB51" i="13" s="1"/>
  <c r="Z45" i="13"/>
  <c r="Z54" i="13" s="1"/>
  <c r="Z10" i="14"/>
  <c r="AB10" i="14" s="1"/>
  <c r="AB45" i="14" s="1"/>
  <c r="AB51" i="14" s="1"/>
  <c r="Z62" i="12"/>
  <c r="Z64" i="12" s="1"/>
  <c r="V81" i="14"/>
  <c r="V45" i="14"/>
  <c r="V46" i="14" s="1"/>
  <c r="X73" i="14"/>
  <c r="Z73" i="14" s="1"/>
  <c r="W45" i="14"/>
  <c r="X74" i="14"/>
  <c r="Z74" i="14" s="1"/>
  <c r="X45" i="14"/>
  <c r="X46" i="14" s="1"/>
  <c r="X75" i="14"/>
  <c r="Z75" i="14" s="1"/>
  <c r="Y45" i="14"/>
  <c r="Y46" i="14" s="1"/>
  <c r="X76" i="14"/>
  <c r="Z76" i="14" s="1"/>
  <c r="AB44" i="9"/>
  <c r="AB50" i="9" s="1"/>
  <c r="Y78" i="13"/>
  <c r="Z78" i="13"/>
  <c r="AB78" i="13" s="1"/>
  <c r="Z60" i="13"/>
  <c r="Z63" i="13" s="1"/>
  <c r="Z65" i="13" s="1"/>
  <c r="V46" i="13"/>
  <c r="Z60" i="11"/>
  <c r="Z63" i="11" s="1"/>
  <c r="Z65" i="11" s="1"/>
  <c r="Y78" i="11"/>
  <c r="AB45" i="11"/>
  <c r="AB51" i="11" s="1"/>
  <c r="Z45" i="11"/>
  <c r="Z54" i="11" s="1"/>
  <c r="Z78" i="11"/>
  <c r="AB78" i="11" s="1"/>
  <c r="Z72" i="10"/>
  <c r="Z74" i="10"/>
  <c r="AB44" i="10"/>
  <c r="AB50" i="10" s="1"/>
  <c r="Y77" i="10"/>
  <c r="Z75" i="10"/>
  <c r="Z73" i="10"/>
  <c r="Z44" i="10"/>
  <c r="Z53" i="10" s="1"/>
  <c r="V45" i="10"/>
  <c r="Z59" i="10"/>
  <c r="Z62" i="10" s="1"/>
  <c r="Z64" i="10" s="1"/>
  <c r="X77" i="10"/>
  <c r="Y77" i="9"/>
  <c r="Z72" i="9"/>
  <c r="Z77" i="9" s="1"/>
  <c r="AB77" i="9" s="1"/>
  <c r="Z59" i="9"/>
  <c r="Z62" i="9" s="1"/>
  <c r="Z64" i="9" s="1"/>
  <c r="Z44" i="8"/>
  <c r="Z53" i="8" s="1"/>
  <c r="AB44" i="8"/>
  <c r="AB50" i="8" s="1"/>
  <c r="Z77" i="8"/>
  <c r="AB77" i="8" s="1"/>
  <c r="Y77" i="8"/>
  <c r="Z59" i="8"/>
  <c r="Z62" i="8" s="1"/>
  <c r="Z64" i="8" s="1"/>
  <c r="V45" i="8"/>
  <c r="Z45" i="14" l="1"/>
  <c r="Z54" i="14" s="1"/>
  <c r="Z60" i="14"/>
  <c r="Z63" i="14" s="1"/>
  <c r="Z65" i="14" s="1"/>
  <c r="Y77" i="14" s="1"/>
  <c r="X78" i="14"/>
  <c r="W46" i="14"/>
  <c r="AB54" i="14"/>
  <c r="Z77" i="10"/>
  <c r="AB77" i="10" s="1"/>
  <c r="Z77" i="14" l="1"/>
  <c r="Z78" i="14" s="1"/>
  <c r="AB78" i="14" s="1"/>
  <c r="Y78" i="14"/>
  <c r="I34" i="5"/>
  <c r="F31" i="5"/>
  <c r="I28" i="5"/>
  <c r="N28" i="5" s="1"/>
  <c r="F28" i="5"/>
  <c r="I27" i="5"/>
  <c r="L27" i="5" s="1"/>
  <c r="F27" i="5"/>
  <c r="I26" i="5"/>
  <c r="N26" i="5" s="1"/>
  <c r="F26" i="5"/>
  <c r="I24" i="5"/>
  <c r="N24" i="5" s="1"/>
  <c r="F24" i="5"/>
  <c r="I23" i="5"/>
  <c r="N23" i="5" s="1"/>
  <c r="F23" i="5"/>
  <c r="I21" i="5"/>
  <c r="L21" i="5" s="1"/>
  <c r="F21" i="5"/>
  <c r="I19" i="5"/>
  <c r="M19" i="5" s="1"/>
  <c r="F19" i="5"/>
  <c r="I18" i="5"/>
  <c r="N18" i="5" s="1"/>
  <c r="F18" i="5"/>
  <c r="I17" i="5"/>
  <c r="N17" i="5" s="1"/>
  <c r="F17" i="5"/>
  <c r="I16" i="5"/>
  <c r="L16" i="5" s="1"/>
  <c r="F16" i="5"/>
  <c r="I14" i="5"/>
  <c r="M14" i="5" s="1"/>
  <c r="F14" i="5"/>
  <c r="I13" i="5"/>
  <c r="N13" i="5" s="1"/>
  <c r="F13" i="5"/>
  <c r="I12" i="5"/>
  <c r="N12" i="5" s="1"/>
  <c r="F12" i="5"/>
  <c r="I11" i="5"/>
  <c r="L11" i="5" s="1"/>
  <c r="F11" i="5"/>
  <c r="I10" i="5"/>
  <c r="K10" i="5" s="1"/>
  <c r="F10" i="5"/>
  <c r="I8" i="5"/>
  <c r="M8" i="5" s="1"/>
  <c r="F8" i="5"/>
  <c r="J8" i="5" s="1"/>
  <c r="J31" i="5" s="1"/>
  <c r="J33" i="5" s="1"/>
  <c r="L8" i="5" l="1"/>
  <c r="L26" i="5"/>
  <c r="M26" i="5"/>
  <c r="K8" i="5"/>
  <c r="K14" i="5"/>
  <c r="L14" i="5"/>
  <c r="K19" i="5"/>
  <c r="L19" i="5"/>
  <c r="N10" i="5"/>
  <c r="N11" i="5"/>
  <c r="M12" i="5"/>
  <c r="N14" i="5"/>
  <c r="N16" i="5"/>
  <c r="M17" i="5"/>
  <c r="N19" i="5"/>
  <c r="N21" i="5"/>
  <c r="K26" i="5"/>
  <c r="N27" i="5"/>
  <c r="K27" i="5"/>
  <c r="L10" i="5"/>
  <c r="N8" i="5"/>
  <c r="M10" i="5"/>
  <c r="K11" i="5"/>
  <c r="L12" i="5"/>
  <c r="K16" i="5"/>
  <c r="L17" i="5"/>
  <c r="K21" i="5"/>
  <c r="M23" i="5"/>
  <c r="M27" i="5"/>
  <c r="M28" i="5"/>
  <c r="M11" i="5"/>
  <c r="M16" i="5"/>
  <c r="M21" i="5"/>
  <c r="K13" i="5"/>
  <c r="K18" i="5"/>
  <c r="K24" i="5"/>
  <c r="I31" i="5"/>
  <c r="I33" i="5" s="1"/>
  <c r="L13" i="5"/>
  <c r="L18" i="5"/>
  <c r="L24" i="5"/>
  <c r="K12" i="5"/>
  <c r="M13" i="5"/>
  <c r="K17" i="5"/>
  <c r="M18" i="5"/>
  <c r="K23" i="5"/>
  <c r="M24" i="5"/>
  <c r="K28" i="5"/>
  <c r="L23" i="5"/>
  <c r="L28" i="5"/>
  <c r="N31" i="5" l="1"/>
  <c r="N33" i="5" s="1"/>
  <c r="K31" i="5"/>
  <c r="K33" i="5" s="1"/>
  <c r="M31" i="5"/>
  <c r="M33" i="5" s="1"/>
  <c r="L31" i="5"/>
  <c r="L33" i="5" s="1"/>
  <c r="F33" i="5" s="1"/>
  <c r="F36" i="5" s="1"/>
  <c r="C4" i="28" l="1"/>
  <c r="C7" i="28" s="1"/>
  <c r="D4" i="28" l="1"/>
  <c r="D7" i="28" s="1"/>
</calcChain>
</file>

<file path=xl/sharedStrings.xml><?xml version="1.0" encoding="utf-8"?>
<sst xmlns="http://schemas.openxmlformats.org/spreadsheetml/2006/main" count="1577" uniqueCount="401">
  <si>
    <t>CENTRO INTERNACIONAL DE LA QUINUA
ESTRUCTURA DE PERSONAL Y PLANILLA POA  2021
(Expresada en Bolivianos)</t>
  </si>
  <si>
    <t>REPARTICION / CARGO</t>
  </si>
  <si>
    <t>T</t>
  </si>
  <si>
    <t>GESTION</t>
  </si>
  <si>
    <t>UNIDAD</t>
  </si>
  <si>
    <t>SUELDO MENSUAL</t>
  </si>
  <si>
    <t>MES</t>
  </si>
  <si>
    <t>DIAS</t>
  </si>
  <si>
    <t>MESES</t>
  </si>
  <si>
    <t>MONTO ANUAL</t>
  </si>
  <si>
    <t>APORTES PATRONALES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</si>
  <si>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</si>
  <si>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</si>
  <si>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</si>
  <si>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</si>
  <si>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</si>
  <si>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</si>
  <si>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</si>
  <si>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</si>
  <si>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</si>
  <si>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</si>
  <si>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</si>
  <si>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</si>
  <si>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SALUD</t>
  </si>
  <si>
    <t>PENSIONES</t>
  </si>
  <si>
    <t>PATRONAL</t>
  </si>
  <si>
    <t>VIVIENDA</t>
  </si>
  <si>
    <t>DIRECCION GENERAL EJECUTIVA</t>
  </si>
  <si>
    <t>Director General Ejecutivo</t>
  </si>
  <si>
    <t>P</t>
  </si>
  <si>
    <t>Haber</t>
  </si>
  <si>
    <t>ASESORAMIENTO Y APOYO</t>
  </si>
  <si>
    <t>E</t>
  </si>
  <si>
    <t>Administrativo II - Secretaria Dirección General</t>
  </si>
  <si>
    <t>CONTROL</t>
  </si>
  <si>
    <t>AREA ADMINISTRATIVA FINANCIERA</t>
  </si>
  <si>
    <t xml:space="preserve">Profesional VIII - Contabilidad, Presupuestos y Contrataciones </t>
  </si>
  <si>
    <t>AREA GESTIÓN DE LA INFORMACION</t>
  </si>
  <si>
    <t>AREA DE INVESTIGACION Y DESARROLLO</t>
  </si>
  <si>
    <t>AREA DE CAPACITACION Y ASISTENCIA TECNICA</t>
  </si>
  <si>
    <t>Sueldo Personal</t>
  </si>
  <si>
    <t>TOTAL 2021:</t>
  </si>
  <si>
    <t>AGUINALDO PERSONAL PERMANENTE</t>
  </si>
  <si>
    <t>TOTAL PROGRAMADO 2021</t>
  </si>
  <si>
    <t>TECHO PRESUPUESTARIO PARA 2021</t>
  </si>
  <si>
    <t>aguinaldo 2021</t>
  </si>
  <si>
    <t>PERSONAL EVENTUAL</t>
  </si>
  <si>
    <t>PERSONAL  PERMANENTE</t>
  </si>
  <si>
    <t>APORTE COLATERALES</t>
  </si>
  <si>
    <t>AGUINALDO 2021</t>
  </si>
  <si>
    <t xml:space="preserve">TOTAL </t>
  </si>
  <si>
    <t>AGUINALDO</t>
  </si>
  <si>
    <t>CENTRO INTERNACIONAL DE LA QUINUA</t>
  </si>
  <si>
    <t xml:space="preserve">CUADRO DE EQUIVALENCIA DE FUNCIONES PARA PERSONAL EVENTUAL </t>
  </si>
  <si>
    <t>Centro Internacional de la Quinua</t>
  </si>
  <si>
    <t>ESCALA SALARIAL DEL M.P.D.</t>
  </si>
  <si>
    <t>EQUIVALENCIA DE FUNCIONES                                                            REQUISITOS MÍNIMOS PARA EL CARGO</t>
  </si>
  <si>
    <t>N°</t>
  </si>
  <si>
    <t>HABER MENSUAL Bs</t>
  </si>
  <si>
    <t>HOMOLOGACIÓ DE FUNCIONES    
(Personal Eventual)</t>
  </si>
  <si>
    <t>EXPERIENCIA GENERAL</t>
  </si>
  <si>
    <t>EXPERIENCIA ESPECÍFICA</t>
  </si>
  <si>
    <t>CARGO</t>
  </si>
  <si>
    <t>NIVEL</t>
  </si>
  <si>
    <t>FORMACIÓN</t>
  </si>
  <si>
    <t>INMEDIATO SUPERIOR</t>
  </si>
  <si>
    <t xml:space="preserve">DIRECTOR GENERAL </t>
  </si>
  <si>
    <r>
      <t>(</t>
    </r>
    <r>
      <rPr>
        <sz val="9"/>
        <color theme="1"/>
        <rFont val="Cambria"/>
        <family val="1"/>
      </rPr>
      <t>Designación expresa mediante Resolución Suprema</t>
    </r>
    <r>
      <rPr>
        <sz val="9"/>
        <color theme="1"/>
        <rFont val="Calibri"/>
        <family val="2"/>
      </rPr>
      <t>)</t>
    </r>
  </si>
  <si>
    <t>MINISTRO (A)</t>
  </si>
  <si>
    <t>Profesional - V</t>
  </si>
  <si>
    <r>
      <t>Ø</t>
    </r>
    <r>
      <rPr>
        <sz val="9"/>
        <color theme="1"/>
        <rFont val="Times New Roman"/>
        <family val="1"/>
      </rPr>
      <t xml:space="preserve">   </t>
    </r>
    <r>
      <rPr>
        <sz val="9"/>
        <color theme="1"/>
        <rFont val="Calibri"/>
        <family val="2"/>
      </rPr>
      <t>Organizar el desarrollo de las actividades del trabajo encomendado.</t>
    </r>
  </si>
  <si>
    <t>Licenciado con Titulo en  Provición Nacional (TPN) y/o  Licenciatura con Título Académico (TA)</t>
  </si>
  <si>
    <t xml:space="preserve">Tres (3)  años de experiencia laboral debidamente acreditada a partir de la emisión del TPN, </t>
  </si>
  <si>
    <t>Dos (2) años de experiencia laboral debidamente acreditada en el sector púbico  desde la emisión del TPN</t>
  </si>
  <si>
    <r>
      <t>Ø</t>
    </r>
    <r>
      <rPr>
        <sz val="9"/>
        <color theme="1"/>
        <rFont val="Times New Roman"/>
        <family val="1"/>
      </rPr>
      <t xml:space="preserve">   </t>
    </r>
    <r>
      <rPr>
        <sz val="9"/>
        <color theme="1"/>
        <rFont val="Calibri"/>
        <family val="2"/>
      </rPr>
      <t>Ejecutar las actividades señaladas en los requisitos minimos de contratación y otras complementarias a su ejecución.</t>
    </r>
  </si>
  <si>
    <r>
      <t>Ø</t>
    </r>
    <r>
      <rPr>
        <sz val="9"/>
        <color theme="1"/>
        <rFont val="Times New Roman"/>
        <family val="1"/>
      </rPr>
      <t xml:space="preserve">   </t>
    </r>
    <r>
      <rPr>
        <sz val="9"/>
        <color theme="1"/>
        <rFont val="Calibri"/>
        <family val="2"/>
      </rPr>
      <t>Coordinar acciones con entidades nacionales y/o instancias del MDRyT de acuerdo a las instrucciones del inmediato superior .</t>
    </r>
  </si>
  <si>
    <r>
      <t>Ø</t>
    </r>
    <r>
      <rPr>
        <sz val="9"/>
        <color theme="1"/>
        <rFont val="Times New Roman"/>
        <family val="1"/>
      </rPr>
      <t xml:space="preserve">   </t>
    </r>
    <r>
      <rPr>
        <sz val="9"/>
        <color theme="1"/>
        <rFont val="Calibri"/>
        <family val="2"/>
      </rPr>
      <t>Integrar equipos de trabajo.</t>
    </r>
  </si>
  <si>
    <r>
      <t>Ø</t>
    </r>
    <r>
      <rPr>
        <sz val="9"/>
        <color theme="1"/>
        <rFont val="Times New Roman"/>
        <family val="1"/>
      </rPr>
      <t xml:space="preserve">   </t>
    </r>
    <r>
      <rPr>
        <sz val="9"/>
        <color theme="1"/>
        <rFont val="Calibri"/>
        <family val="2"/>
      </rPr>
      <t>Reportar Informes mesuales y finales</t>
    </r>
  </si>
  <si>
    <t>Profesional -  VII - Técnico I</t>
  </si>
  <si>
    <t>Licenciado con Titulo en  Provición Nacional (TPN) y/o Licenciatura con  Título Académico (TA)</t>
  </si>
  <si>
    <t>Tres (3) años de experiencia laboral debidamente acreditada a partir de la emisión del TA</t>
  </si>
  <si>
    <r>
      <t>Ø</t>
    </r>
    <r>
      <rPr>
        <sz val="9"/>
        <color theme="1"/>
        <rFont val="Times New Roman"/>
        <family val="1"/>
      </rPr>
      <t xml:space="preserve">   </t>
    </r>
    <r>
      <rPr>
        <sz val="9"/>
        <color theme="1"/>
        <rFont val="Calibri"/>
        <family val="2"/>
      </rPr>
      <t xml:space="preserve">Coordinar acciones con entidades nacionales y/o instancias del MDRyT de acuerdo a las instrucciones del inmediato superior </t>
    </r>
  </si>
  <si>
    <t>Profesional -  VIII - Técnico II</t>
  </si>
  <si>
    <t>Dos (2) años de experiencia laboral debidamente acreditada a partir de la emisión del TA</t>
  </si>
  <si>
    <t>Un (1) año de experiencia laboral debidamente acreditada en el sector púbico  desde la emisión del TPN</t>
  </si>
  <si>
    <t xml:space="preserve"> Responsable de   Area</t>
  </si>
  <si>
    <t>Profesional - IX Técnico III</t>
  </si>
  <si>
    <t>Profesional a nivel Licenciatura con Título Académico (TA) y/o    Técnico Superior (T.S.) o egresado de una carrera universitaria</t>
  </si>
  <si>
    <t>Dos (2) año de  experiencia laboral debidamente acreditada a partir de la emisión del TA</t>
  </si>
  <si>
    <t>Responsable de Area</t>
  </si>
  <si>
    <t xml:space="preserve">Técnico - V </t>
  </si>
  <si>
    <t>Licenciado y/o Técnico Superior (T.S.) o egresado de una carrera universitaria</t>
  </si>
  <si>
    <t xml:space="preserve">Dos (2) año de  experiencia laboral debidamente acreditada </t>
  </si>
  <si>
    <t xml:space="preserve">Un (1) año de experiencia laboral debidamente acreditada en el sector púbico  </t>
  </si>
  <si>
    <t>Técnico - VI</t>
  </si>
  <si>
    <t>Técnico Medio y/o Superior  (T.M. y/o T.S.) o 2do    año vencido de una carrera universitaria</t>
  </si>
  <si>
    <t>Dos (2) años experiencia laboral debidamente acreditada</t>
  </si>
  <si>
    <t>Un (1) año experiencia laboral debidamente acreditada en el sector público</t>
  </si>
  <si>
    <t xml:space="preserve">Administrativo  - II </t>
  </si>
  <si>
    <t>Técnico Medio (T.M.) o 2do año vencido de una carrera universitaria</t>
  </si>
  <si>
    <t xml:space="preserve">Un (1) año y/o seis (6) meses de experiencia laboral debidamente acreditada </t>
  </si>
  <si>
    <t>Seis (6) meses de experiencia laboral debidamente acreditada en el sector público</t>
  </si>
  <si>
    <t>Administrativo  - IV</t>
  </si>
  <si>
    <t xml:space="preserve">Bachiller en Humanidades </t>
  </si>
  <si>
    <t>Seis (6) meses de experiencia laboral debidamente acreditada</t>
  </si>
  <si>
    <t>No requiere</t>
  </si>
  <si>
    <r>
      <t xml:space="preserve">SIGLAS:  </t>
    </r>
    <r>
      <rPr>
        <b/>
        <sz val="7"/>
        <color theme="1"/>
        <rFont val="Calibri"/>
        <family val="2"/>
      </rPr>
      <t xml:space="preserve">TPN </t>
    </r>
    <r>
      <rPr>
        <sz val="7"/>
        <color theme="1"/>
        <rFont val="Calibri"/>
        <family val="2"/>
      </rPr>
      <t xml:space="preserve">= Título en Provisión Nacional.              </t>
    </r>
    <r>
      <rPr>
        <b/>
        <sz val="7"/>
        <color theme="1"/>
        <rFont val="Calibri"/>
        <family val="2"/>
      </rPr>
      <t xml:space="preserve">TA </t>
    </r>
    <r>
      <rPr>
        <sz val="7"/>
        <color theme="1"/>
        <rFont val="Calibri"/>
        <family val="2"/>
      </rPr>
      <t xml:space="preserve">= Título Académico                  </t>
    </r>
    <r>
      <rPr>
        <b/>
        <sz val="7"/>
        <color theme="1"/>
        <rFont val="Calibri"/>
        <family val="2"/>
      </rPr>
      <t xml:space="preserve">T.S. </t>
    </r>
    <r>
      <rPr>
        <sz val="7"/>
        <color theme="1"/>
        <rFont val="Calibri"/>
        <family val="2"/>
      </rPr>
      <t xml:space="preserve">= Técnico Superior                    </t>
    </r>
    <r>
      <rPr>
        <b/>
        <sz val="7"/>
        <color theme="1"/>
        <rFont val="Calibri"/>
        <family val="2"/>
      </rPr>
      <t xml:space="preserve">T.M. </t>
    </r>
    <r>
      <rPr>
        <sz val="7"/>
        <color theme="1"/>
        <rFont val="Calibri"/>
        <family val="2"/>
      </rPr>
      <t>= Técnico Medio</t>
    </r>
  </si>
  <si>
    <r>
      <t xml:space="preserve">NOTA 1:  </t>
    </r>
    <r>
      <rPr>
        <sz val="7"/>
        <color theme="1"/>
        <rFont val="Calibri"/>
        <family val="2"/>
      </rPr>
      <t>Excepcionalmente, la MAE mediante resolución expresa podrá autorizar la contratación de personal al margen de los requisitos exigidos pero dentro de los niveles salariales del presente Cuadro de Equivalencias.</t>
    </r>
  </si>
  <si>
    <r>
      <t xml:space="preserve">NOTA 2:  </t>
    </r>
    <r>
      <rPr>
        <sz val="7"/>
        <color theme="1"/>
        <rFont val="Calibri"/>
        <family val="2"/>
      </rPr>
      <t>Excepcionalmente, prevalecerán las políticas del organismo financiador si existieren conflictos en los requisitos de formación.</t>
    </r>
  </si>
  <si>
    <t>ESCALA SALARIAL MAESTRA PROPUESTA</t>
  </si>
  <si>
    <t>COSTO MENSUAL</t>
  </si>
  <si>
    <t>Sueldo</t>
  </si>
  <si>
    <t>CATEGORIA</t>
  </si>
  <si>
    <t>CLASE</t>
  </si>
  <si>
    <t>NIVEL SALARIAL</t>
  </si>
  <si>
    <t>DENOMINACION DEL PUESTO</t>
  </si>
  <si>
    <t>EJECUTIVO</t>
  </si>
  <si>
    <t>(Expresado en Bolivianos)</t>
  </si>
  <si>
    <t>ENTIDAD</t>
  </si>
  <si>
    <t>371 CENTRO INTERNACIONAL DE LA QUINUA</t>
  </si>
  <si>
    <t>FUENTE</t>
  </si>
  <si>
    <t>ORGANISMO FINANCIADOR:</t>
  </si>
  <si>
    <t>111 "TESORO GENERAL DE LA NACION"</t>
  </si>
  <si>
    <t>GASTOS:</t>
  </si>
  <si>
    <t>CORRIENTE</t>
  </si>
  <si>
    <t>NIVELES CORRELATIVOS</t>
  </si>
  <si>
    <t>No. DE ITEMS</t>
  </si>
  <si>
    <t>DIRECTOR GENERAL</t>
  </si>
  <si>
    <t>OPERATIVO</t>
  </si>
  <si>
    <t>TOTAL MENSUAL</t>
  </si>
  <si>
    <t>TOTAL ANUAL</t>
  </si>
  <si>
    <t>Repartición / cargo:</t>
  </si>
  <si>
    <t>Gestión</t>
  </si>
  <si>
    <t>Unidad</t>
  </si>
  <si>
    <t>Costo unitario</t>
  </si>
  <si>
    <t>Cantidad</t>
  </si>
  <si>
    <t>Meses</t>
  </si>
  <si>
    <t>Monto anual</t>
  </si>
  <si>
    <t>Aguinaldo</t>
  </si>
  <si>
    <t>Salud</t>
  </si>
  <si>
    <t>Pensiones</t>
  </si>
  <si>
    <t>Patronal</t>
  </si>
  <si>
    <t>Vivienda</t>
  </si>
  <si>
    <t>Dirección General Ejecutiva</t>
  </si>
  <si>
    <t>PROFESIONAL V Director General Ejecutivo</t>
  </si>
  <si>
    <t>Ene - Dic</t>
  </si>
  <si>
    <t xml:space="preserve">Staff </t>
  </si>
  <si>
    <t>PROFESIONAL V Responsable en Planificación</t>
  </si>
  <si>
    <t xml:space="preserve">PROFESIONAL VII - Técnico I  Auditoia Interna/Responsable de Transparencia </t>
  </si>
  <si>
    <t>PROFESIONAL V Relaciones Internacionales y Asesoria Juridica</t>
  </si>
  <si>
    <t>PROFESIONAL VI  Comunicador en Consumo de la Quinua</t>
  </si>
  <si>
    <t>Area  Administrativa y Financiera</t>
  </si>
  <si>
    <t>PROFESIONAL V Responsable Financiero y Administrativo</t>
  </si>
  <si>
    <t xml:space="preserve">Profesional VII - Técnico I Contabilidad y Presupuestos </t>
  </si>
  <si>
    <t xml:space="preserve">Administrativo II - Asistente administrativo  </t>
  </si>
  <si>
    <t>Administrativo II -  Chofer</t>
  </si>
  <si>
    <t>Area Gestión del Conocimiento e Información</t>
  </si>
  <si>
    <t>PROFESIONAL V Responsable en Gestion de la Información</t>
  </si>
  <si>
    <t xml:space="preserve">Area de investigacion y Desarrollo </t>
  </si>
  <si>
    <t>PROFESIONAL V Responsable en Investigación  y Desarrollo</t>
  </si>
  <si>
    <t>PROFESIONAL VII - Técnico I en Investigacion Agronomo Forestal</t>
  </si>
  <si>
    <t>Area de Asistencia Técnica y Capacitación</t>
  </si>
  <si>
    <t>PROFESIONAL V Responsable en Capacitación y Asistencia Técnica</t>
  </si>
  <si>
    <t xml:space="preserve">PROFESIONAL VI  En Promosion y Articulacion Intersectorial en Alimentacion y Nutricion </t>
  </si>
  <si>
    <t>PROFESIONAL IX - TECNICO III  Mecánico - Industrial</t>
  </si>
  <si>
    <t>TOTAL 2017:</t>
  </si>
  <si>
    <t>CENTRO INTERNACIONAL DE LA QUINUA
ESTRUCTURA DE PERSONAL Y PLANILLA POA  2022
(Expresada en Bolivianos)</t>
  </si>
  <si>
    <t>AREA DE PLANIFICACIÓN, MONITOREO Y EVALUACIÓN</t>
  </si>
  <si>
    <t>Tecnico VI - Investigador Agricola (Altiplano Sur)</t>
  </si>
  <si>
    <t>Tecnico VI -  Investigador Agricola (Altiplano Centro y  Norte)</t>
  </si>
  <si>
    <t>Auxiliar II Tecnico La Paz</t>
  </si>
  <si>
    <t>Tecnico VI -  en desarrollo de Capacidades</t>
  </si>
  <si>
    <t>Tecnico  VI - en alimentación y desarrollo de mercados</t>
  </si>
  <si>
    <t>Tecnico VI - en SIG</t>
  </si>
  <si>
    <t>Tecnico VI-  Informatico</t>
  </si>
  <si>
    <t>Tecnico VI -  Civil</t>
  </si>
  <si>
    <t>Tecnico  VI - en Medio Ambiente y Cambio Climatico</t>
  </si>
  <si>
    <t>Tecnico VI- Proyectista</t>
  </si>
  <si>
    <t>PRESUPUESTO VIGENTE</t>
  </si>
  <si>
    <t>TOTAL CONTRATOS</t>
  </si>
  <si>
    <t>Aguinaldos</t>
  </si>
  <si>
    <t>Asignaciones Familiares</t>
  </si>
  <si>
    <t>Sueldos</t>
  </si>
  <si>
    <t>Personal Eventual</t>
  </si>
  <si>
    <t>Régimen de Corto Plazo (Salud)</t>
  </si>
  <si>
    <t>PRIMA DE RIESGO PROFESIONAL RÉGIMEN DE LARGO PLAZO</t>
  </si>
  <si>
    <t>Aporte Patronal Solidario 3%</t>
  </si>
  <si>
    <t>Aporte Patronal para Vivienda</t>
  </si>
  <si>
    <t>ITEM</t>
  </si>
  <si>
    <t>EVENTUAL</t>
  </si>
  <si>
    <t>TOTAL</t>
  </si>
  <si>
    <t>Otras Previsiones (EVENTUAL)</t>
  </si>
  <si>
    <t>Profesional VIII - Asesoria Juridica y Relaciones Internacionales</t>
  </si>
  <si>
    <t>Administrativo IV - Secretaria Dirección General</t>
  </si>
  <si>
    <t xml:space="preserve">Profesional VIII - Responsable de Planificacion, Monitoreo y Evaluación </t>
  </si>
  <si>
    <t>Administrativo II - Técnico Comunicador</t>
  </si>
  <si>
    <t>Tecnico V - Auditoria Interna</t>
  </si>
  <si>
    <t>Tecnico VII-  de Gestión de Proyectos y Financiamiento</t>
  </si>
  <si>
    <t>Profesional Vlll - Responsable Administrativo Financiero</t>
  </si>
  <si>
    <t xml:space="preserve">Tecnico IV - Contabilidad, Presupuestos y Contrataciones </t>
  </si>
  <si>
    <t>Administrativo IV  Auxiliar Administrativo</t>
  </si>
  <si>
    <t>Auxiliar I - Mensajero enlace La Paz</t>
  </si>
  <si>
    <t>Auxiliar I - Chofer I</t>
  </si>
  <si>
    <t>Auxiliar II - Chofer II</t>
  </si>
  <si>
    <t>Profesional VIII - Responsable en Investigación  y Desarrollo</t>
  </si>
  <si>
    <t>Profesional VIII - Responsable en Capacitación y Asistencia Técnica</t>
  </si>
  <si>
    <t>Profesional VIII - Responsable en Gestión de la Información</t>
  </si>
  <si>
    <t>C</t>
  </si>
  <si>
    <t>Tecnico VI -  de Gestión de Proyectos y Financiamiento</t>
  </si>
  <si>
    <t>Profesional VII - Asesoria Juridica y Relaciones Internacionales</t>
  </si>
  <si>
    <t xml:space="preserve">Profesional VII - Responsable de Planificacion, Monitoreo y Evaluación </t>
  </si>
  <si>
    <t>Profesional Vll - Responsable Administrativo Financiero</t>
  </si>
  <si>
    <t>Profesional VII - Responsable en Investigación  y Desarrollo</t>
  </si>
  <si>
    <t>Profesional VII - Responsable en Capacitación y Asistencia Técnica</t>
  </si>
  <si>
    <t>Profesional VII - Responsable en Gestión de la Información</t>
  </si>
  <si>
    <t xml:space="preserve">Profesional IX - Contabilidad, Presupuestos y Contrataciones </t>
  </si>
  <si>
    <t>Tecnico VI-  Informatico y  redes</t>
  </si>
  <si>
    <t>Sueldo Personal CONSULTOR</t>
  </si>
  <si>
    <t>RESPONSABLE IV - Asesoria Juridica y Relaciones Internacionales</t>
  </si>
  <si>
    <t>Administrativo I - Secretaria Dirección General</t>
  </si>
  <si>
    <t>TECNICO IV - Técnico Comunicador</t>
  </si>
  <si>
    <t>PROFESIONAL IX - Auditoria Interna</t>
  </si>
  <si>
    <t xml:space="preserve">RESPONSABLE IV- Responsable de Planificacion, Monitoreo y Evaluación </t>
  </si>
  <si>
    <t>TECNICO IV -  de Gestión de Proyectos y Financiamiento</t>
  </si>
  <si>
    <t>Tecnico IV -  Civil</t>
  </si>
  <si>
    <t>Tecnico  IV - en Medio Ambiente y Cambio Climatico</t>
  </si>
  <si>
    <t>Tecnico IV- Proyectista</t>
  </si>
  <si>
    <t>RESPONSABLE IV- Responsable Administrativo Financiero</t>
  </si>
  <si>
    <t>Administrativo I  Auxiliar Administrativo</t>
  </si>
  <si>
    <t>RESPONSABLE IV - Responsable en Investigación  y Desarrollo</t>
  </si>
  <si>
    <t>RESPONSABLE IV - Responsable en Capacitación y Asistencia Técnica</t>
  </si>
  <si>
    <t>RESPONSABLE IV - Responsable en Gestión de la Información</t>
  </si>
  <si>
    <t>ADMINISTRATIVO II - Chofer I</t>
  </si>
  <si>
    <t>ADMINISTRATIVO III - Chofer II</t>
  </si>
  <si>
    <t>PROFESIONAL IX- Investigador Agricola (Altiplano Sur)</t>
  </si>
  <si>
    <t>PROFESIONAL IX-  Investigador Agricola (Altiplano Centro y  Norte)</t>
  </si>
  <si>
    <t>ADMINISTRATIVO IV Tecnico La Paz</t>
  </si>
  <si>
    <t>PROFESIONAL IX-  en desarrollo de Capacidades</t>
  </si>
  <si>
    <t>PROFESIONAL IX- en alimentación y desarrollo de mercados</t>
  </si>
  <si>
    <t>PROFESIONAL IX - en SIG</t>
  </si>
  <si>
    <t>PROFESIONAL IX-  Informatico y  redes</t>
  </si>
  <si>
    <t>PROFESIONAL IX - Asesoria Juridica y Relaciones Internacionales</t>
  </si>
  <si>
    <t>ADMINISTRATIVO II  - Transparencia</t>
  </si>
  <si>
    <t>TOTAL 2022:</t>
  </si>
  <si>
    <t>10 "TESORO GENERAL DE LA NACION"</t>
  </si>
  <si>
    <t>ENTIDAD:</t>
  </si>
  <si>
    <t>FUENTE:</t>
  </si>
  <si>
    <t>ESCALA SALARIAL</t>
  </si>
  <si>
    <t>CENTRO INTERNACIONAL DE LA QUINUA
PLANILLA PRESUPUESTARIA DE PERSONAL PERMANENTE -  POA  2022
(Expresada en Bolivianos)</t>
  </si>
  <si>
    <t xml:space="preserve">CATEGORIA </t>
  </si>
  <si>
    <t xml:space="preserve">SUELDO O HABER MENSUAL </t>
  </si>
  <si>
    <t xml:space="preserve">COSTO MENSUAL </t>
  </si>
  <si>
    <t xml:space="preserve">TOTAL NUMERO DE ITEMS </t>
  </si>
  <si>
    <t xml:space="preserve">OPERATIVO </t>
  </si>
  <si>
    <t xml:space="preserve">N° DE CASOS </t>
  </si>
  <si>
    <t xml:space="preserve">COSTO ANUAL </t>
  </si>
  <si>
    <t xml:space="preserve">TOTAL DE ITEM Y CASOS </t>
  </si>
  <si>
    <t xml:space="preserve">TIPO </t>
  </si>
  <si>
    <t xml:space="preserve">DESCRIPCION DEL PUESTO </t>
  </si>
  <si>
    <t xml:space="preserve">HABER BASICO </t>
  </si>
  <si>
    <t>SALUD (10%)</t>
  </si>
  <si>
    <t>PATRONAL (3%)</t>
  </si>
  <si>
    <t>VIVIENDA(2%)</t>
  </si>
  <si>
    <t xml:space="preserve">PRIMA RIESGO PROFESONAL(1.71%) </t>
  </si>
  <si>
    <t xml:space="preserve">MES DEL AÑO </t>
  </si>
  <si>
    <t xml:space="preserve">TOTAL COSTO MENSUAL </t>
  </si>
  <si>
    <t xml:space="preserve">TOTAL COSTO ANUAL </t>
  </si>
  <si>
    <t>130 FONDO DE FINANCIAMIENTO PARA LA MINERIA</t>
  </si>
  <si>
    <t>20 "RECURSOS ESPECÍFICOS"</t>
  </si>
  <si>
    <t>230 "OTROS RECURSOS ESPECÍFICOS"</t>
  </si>
  <si>
    <t>FONDO DE FINANCIAMIENTO PARA LA MINERIA</t>
  </si>
  <si>
    <t>PROFESIONAL VII</t>
  </si>
  <si>
    <t>RESPONSABLE IV</t>
  </si>
  <si>
    <t>PROFESIONAL IX</t>
  </si>
  <si>
    <t>TECNICO V</t>
  </si>
  <si>
    <t>ADMINISTRATIVO I</t>
  </si>
  <si>
    <t>TECNICO VI</t>
  </si>
  <si>
    <t>ESTRUCTURA DE CARGOS-FOFIM 2024-PROPUESTA</t>
  </si>
  <si>
    <t xml:space="preserve">
 FOFIM POA  2024
(Expresada en Bolivianos)</t>
  </si>
  <si>
    <t>DIRECCIÓN DE ASUNTOS JURIDICOS</t>
  </si>
  <si>
    <t>DIRECCIÓN ADMINISTRATIVA FINANCIERA</t>
  </si>
  <si>
    <t xml:space="preserve">DIRECCION INTEGRAL DE PRÉSTAMOS </t>
  </si>
  <si>
    <t xml:space="preserve">AUXILIAR I </t>
  </si>
  <si>
    <t xml:space="preserve">AUXILIAR II </t>
  </si>
  <si>
    <t>ESPECIALISTA II</t>
  </si>
  <si>
    <t xml:space="preserve">Profesional en Transparencia y Lucha contra la Corrupcion </t>
  </si>
  <si>
    <t>Profesional en Planificacion Institucional</t>
  </si>
  <si>
    <t xml:space="preserve">Profesional en Comunicación Institucional </t>
  </si>
  <si>
    <t>Secretaria de DGE</t>
  </si>
  <si>
    <t>Chofer Mensajero DGE</t>
  </si>
  <si>
    <t>Director de Asuntos Juridicos</t>
  </si>
  <si>
    <t>Profesional en Analisis Juridico</t>
  </si>
  <si>
    <t>Director Administrativo Financiero</t>
  </si>
  <si>
    <t>Profesional Presupuesto Contable</t>
  </si>
  <si>
    <t>Profesional Ingeniero Geólogo</t>
  </si>
  <si>
    <t xml:space="preserve">Tecnico Abogado Procurador </t>
  </si>
  <si>
    <t>Responsable de la Unidad Tecnica de Proyectos</t>
  </si>
  <si>
    <t>Profesional en Prestamos y Cobranzas</t>
  </si>
  <si>
    <t>Tecnico en Prestamos y Cobranzas</t>
  </si>
  <si>
    <t xml:space="preserve">Director Integral de Prestamos </t>
  </si>
  <si>
    <t>Chofer Mensajero Operaciones Crediticias</t>
  </si>
  <si>
    <t xml:space="preserve">Profesional Ingeniero Metalurgista </t>
  </si>
  <si>
    <t xml:space="preserve">Profesional Ingeniero Minero </t>
  </si>
  <si>
    <t>DENOMINACIÓN DEL PUESTO</t>
  </si>
  <si>
    <t xml:space="preserve">DESCRIPCIÓN DE PUESTO </t>
  </si>
  <si>
    <t>TECNICO IV</t>
  </si>
  <si>
    <t>ADMINISTRATIVO II</t>
  </si>
  <si>
    <t xml:space="preserve">Auxiliar de Limpieza </t>
  </si>
  <si>
    <t>Responsable de la Unida de Auditoria Interna</t>
  </si>
  <si>
    <t>Profesional en Gestion Juridica</t>
  </si>
  <si>
    <t>Profesional Administrativo y Recursos Humanos</t>
  </si>
  <si>
    <t>Tecnico en Sistemas y Soporte Tecnico</t>
  </si>
  <si>
    <t>Tecnico de Almacenes, Activos Fijos y Contrataciones</t>
  </si>
  <si>
    <t xml:space="preserve">Responsable de la Unidad Tecnica de Préstamos </t>
  </si>
  <si>
    <t xml:space="preserve">Tecnico Economista </t>
  </si>
  <si>
    <t>Especialista II</t>
  </si>
  <si>
    <t>Profesional VII</t>
  </si>
  <si>
    <t>Administrativo I</t>
  </si>
  <si>
    <t xml:space="preserve">Tecnico VI </t>
  </si>
  <si>
    <t>Tecnico VI</t>
  </si>
  <si>
    <t>Auxiliar I</t>
  </si>
  <si>
    <t>Responsable IV</t>
  </si>
  <si>
    <t>Tecnico IV</t>
  </si>
  <si>
    <t>Tecnico V</t>
  </si>
  <si>
    <t>Administrativo II</t>
  </si>
  <si>
    <t>Profesional IX</t>
  </si>
  <si>
    <t>Auxiliar II</t>
  </si>
  <si>
    <t>DENOMINACION DE PUESTO</t>
  </si>
  <si>
    <t xml:space="preserve">Administrativo I </t>
  </si>
  <si>
    <t>HABER BASICO (ANUAL)</t>
  </si>
  <si>
    <t>COLATERALES (ANUAL)</t>
  </si>
  <si>
    <t>COLATERALES (MES)</t>
  </si>
  <si>
    <t>HABER BASICO (MES)</t>
  </si>
  <si>
    <t>PERSONAL EVENTUAL 2023 (12 MESES)</t>
  </si>
  <si>
    <t>PERSONAL EVENTUAL 2024 (12 MESES)</t>
  </si>
  <si>
    <t>PERSONAL EVENTUAL 2023 (11 MESES)</t>
  </si>
  <si>
    <t xml:space="preserve">FONDO DE FINANCIAMIENTO PARA LA MINERIA </t>
  </si>
  <si>
    <t>(EXPRESADO EN BOLIVIANOS)</t>
  </si>
  <si>
    <t>SALUD                  (10%)</t>
  </si>
  <si>
    <t>PLANILLA SALARIAL GESTION 2023-2024-COMPARATIVO</t>
  </si>
  <si>
    <t>DIFERENCIA GESTION 2023-2024</t>
  </si>
  <si>
    <t>ORG. FINANCIADOR:</t>
  </si>
  <si>
    <t>ESCALA SALARIAL DEL PERSONAL EVENTUAL</t>
  </si>
  <si>
    <t>TOTAL COSTO ANUAL MAS COLATERALES</t>
  </si>
  <si>
    <t>CUADRO GENERICO DE EQUIVALENCIAS PARA EL PERSONAL EVENTUAL</t>
  </si>
  <si>
    <t>HABER MENSUAL
Bs.</t>
  </si>
  <si>
    <t xml:space="preserve">HOMOLOGACIÓN DE FUNCIONES </t>
  </si>
  <si>
    <t>REQUISITOS MÍNIMOS PARA EL CARGO EQUIVALENCIA DE FUNCIONES</t>
  </si>
  <si>
    <t>FORMACIÓN ACADEMICA</t>
  </si>
  <si>
    <t xml:space="preserve">EJECUTIVO </t>
  </si>
  <si>
    <t>-</t>
  </si>
  <si>
    <t>NO APLICA</t>
  </si>
  <si>
    <t>Licenciatura con Título Profesional y/o Provisión Nacional  en el área respectiva (Deseable con Maestría y/o Postgrado)</t>
  </si>
  <si>
    <r>
      <rPr>
        <b/>
        <u/>
        <sz val="12"/>
        <color rgb="FF000000"/>
        <rFont val="Arial Narrow"/>
        <family val="2"/>
      </rPr>
      <t xml:space="preserve">Cinco (5)años </t>
    </r>
    <r>
      <rPr>
        <sz val="12"/>
        <color rgb="FF000000"/>
        <rFont val="Arial Narrow"/>
        <family val="2"/>
      </rPr>
      <t xml:space="preserve"> 
a partir de la de la emisión del Título Profesional y/o Provisión Nacional</t>
    </r>
  </si>
  <si>
    <r>
      <rPr>
        <b/>
        <u/>
        <sz val="12"/>
        <color rgb="FF000000"/>
        <rFont val="Arial Narrow"/>
        <family val="2"/>
      </rPr>
      <t>Cuatro (4) años</t>
    </r>
    <r>
      <rPr>
        <sz val="12"/>
        <color rgb="FF000000"/>
        <rFont val="Arial Narrow"/>
        <family val="2"/>
      </rPr>
      <t xml:space="preserve"> de experiencia laboral  en cargos similares en el sector publico y/o privado acreditada a partir de la de la emisión del Título Profesional y/o Provisión Nacional</t>
    </r>
  </si>
  <si>
    <r>
      <rPr>
        <b/>
        <u/>
        <sz val="12"/>
        <color rgb="FF000000"/>
        <rFont val="Arial Narrow"/>
        <family val="2"/>
      </rPr>
      <t xml:space="preserve">Cuatro (4) años  </t>
    </r>
    <r>
      <rPr>
        <sz val="12"/>
        <color rgb="FF000000"/>
        <rFont val="Arial Narrow"/>
        <family val="2"/>
      </rPr>
      <t xml:space="preserve">  
a partir de la de la emisión del Título Profesional y/o Provisión Nacional</t>
    </r>
  </si>
  <si>
    <r>
      <rPr>
        <b/>
        <u/>
        <sz val="12"/>
        <color rgb="FF000000"/>
        <rFont val="Arial Narrow"/>
        <family val="2"/>
      </rPr>
      <t>Tres (3) años</t>
    </r>
    <r>
      <rPr>
        <sz val="12"/>
        <color rgb="FF000000"/>
        <rFont val="Arial Narrow"/>
        <family val="2"/>
      </rPr>
      <t xml:space="preserve"> de experiencia laboral en cargos similares en el sector publico y/o privado acreditada a partir de la de la emisión del Título Profesional y/o Provisión Nacional</t>
    </r>
  </si>
  <si>
    <r>
      <rPr>
        <b/>
        <u/>
        <sz val="12"/>
        <color rgb="FF000000"/>
        <rFont val="Arial Narrow"/>
        <family val="2"/>
      </rPr>
      <t xml:space="preserve">Cuatro (4) años </t>
    </r>
    <r>
      <rPr>
        <sz val="12"/>
        <color rgb="FF000000"/>
        <rFont val="Arial Narrow"/>
        <family val="2"/>
      </rPr>
      <t xml:space="preserve"> 
a partir de la de la emisión del Título Profesional y/o Provisión Nacional</t>
    </r>
  </si>
  <si>
    <r>
      <rPr>
        <b/>
        <u/>
        <sz val="12"/>
        <color rgb="FF000000"/>
        <rFont val="Arial Narrow"/>
        <family val="2"/>
      </rPr>
      <t xml:space="preserve">Dos (2) años </t>
    </r>
    <r>
      <rPr>
        <sz val="12"/>
        <color rgb="FF000000"/>
        <rFont val="Arial Narrow"/>
        <family val="2"/>
      </rPr>
      <t>de experiencia laboral en cargos similares en el sector publico y/o privado acreditadaa partir de la de la emisión del Título Profesional y/o Provisión Naciona</t>
    </r>
  </si>
  <si>
    <t>Licenciatura con Título Profesional y/o Provisión Nacional  en el área respectiva.</t>
  </si>
  <si>
    <r>
      <rPr>
        <b/>
        <u/>
        <sz val="12"/>
        <color rgb="FF000000"/>
        <rFont val="Arial Narrow"/>
        <family val="2"/>
      </rPr>
      <t xml:space="preserve">Tres (3) años </t>
    </r>
    <r>
      <rPr>
        <sz val="12"/>
        <color rgb="FF000000"/>
        <rFont val="Arial Narrow"/>
        <family val="2"/>
      </rPr>
      <t xml:space="preserve"> 
a partir de la de la emisión del Título Profesional y/o Provisión Nacional</t>
    </r>
  </si>
  <si>
    <r>
      <rPr>
        <b/>
        <u/>
        <sz val="12"/>
        <color rgb="FF000000"/>
        <rFont val="Arial Narrow"/>
        <family val="2"/>
      </rPr>
      <t>Un (2) años</t>
    </r>
    <r>
      <rPr>
        <sz val="12"/>
        <color rgb="FF000000"/>
        <rFont val="Arial Narrow"/>
        <family val="2"/>
      </rPr>
      <t xml:space="preserve"> de experiencia laboral en cargos similares en el sector publico y/o privado acreditada a partir de la de la emisión del Título Profesional y/o Provisión Nacional</t>
    </r>
  </si>
  <si>
    <r>
      <rPr>
        <b/>
        <u/>
        <sz val="12"/>
        <color rgb="FF000000"/>
        <rFont val="Arial Narrow"/>
        <family val="2"/>
      </rPr>
      <t xml:space="preserve">Dos (2)años  </t>
    </r>
    <r>
      <rPr>
        <sz val="12"/>
        <color rgb="FF000000"/>
        <rFont val="Arial Narrow"/>
        <family val="2"/>
      </rPr>
      <t xml:space="preserve"> 
a partir de la de la emisión del Título Profesional y/o Provisión Nacional</t>
    </r>
  </si>
  <si>
    <r>
      <rPr>
        <b/>
        <u/>
        <sz val="12"/>
        <color rgb="FF000000"/>
        <rFont val="Arial Narrow"/>
        <family val="2"/>
      </rPr>
      <t xml:space="preserve">Un (1) año </t>
    </r>
    <r>
      <rPr>
        <sz val="12"/>
        <color rgb="FF000000"/>
        <rFont val="Arial Narrow"/>
        <family val="2"/>
      </rPr>
      <t>de experiencia laboral en cargos similares en el sector publico y/o privado acreditada a partir de la de la emisión del Título Profesional y/o Provisión Nacional</t>
    </r>
  </si>
  <si>
    <t>Licenciatura con Título Profesional y/o Provisión Nacional, o Técnico Superior  en el área respectiva.</t>
  </si>
  <si>
    <r>
      <rPr>
        <b/>
        <u/>
        <sz val="12"/>
        <color rgb="FF000000"/>
        <rFont val="Arial Narrow"/>
        <family val="2"/>
      </rPr>
      <t xml:space="preserve">Dos (2) años  </t>
    </r>
    <r>
      <rPr>
        <sz val="12"/>
        <color rgb="FF000000"/>
        <rFont val="Arial Narrow"/>
        <family val="2"/>
      </rPr>
      <t xml:space="preserve"> 
a partir de la de la emisión del Título.</t>
    </r>
  </si>
  <si>
    <r>
      <rPr>
        <b/>
        <u/>
        <sz val="12"/>
        <color rgb="FF000000"/>
        <rFont val="Arial Narrow"/>
        <family val="2"/>
      </rPr>
      <t xml:space="preserve">Un (1) año  </t>
    </r>
    <r>
      <rPr>
        <sz val="12"/>
        <color rgb="FF000000"/>
        <rFont val="Arial Narrow"/>
        <family val="2"/>
      </rPr>
      <t xml:space="preserve">de experiencia laboral en cargos similares en el área sector publico y/o privado acreditada a partir de la de la emisión del Título. </t>
    </r>
  </si>
  <si>
    <t>Tecnico Superior o Egresado de Carrera Universitaria debidamente acreditada en el area respectiva.</t>
  </si>
  <si>
    <r>
      <rPr>
        <b/>
        <u/>
        <sz val="12"/>
        <color rgb="FF000000"/>
        <rFont val="Arial Narrow"/>
        <family val="2"/>
      </rPr>
      <t>Dos (2) años</t>
    </r>
    <r>
      <rPr>
        <sz val="12"/>
        <color rgb="FF000000"/>
        <rFont val="Arial Narrow"/>
        <family val="2"/>
      </rPr>
      <t xml:space="preserve"> 
a partir de la emisión del título o certificado de egreso</t>
    </r>
  </si>
  <si>
    <r>
      <rPr>
        <b/>
        <u/>
        <sz val="12"/>
        <color rgb="FF000000"/>
        <rFont val="Arial Narrow"/>
        <family val="2"/>
      </rPr>
      <t xml:space="preserve">Diez (10) meses  </t>
    </r>
    <r>
      <rPr>
        <sz val="12"/>
        <color rgb="FF000000"/>
        <rFont val="Arial Narrow"/>
        <family val="2"/>
      </rPr>
      <t>de experiencia laboral en cargos similares en el área sector publico y/o privado acreditada a partir de la emisión del título o certificado de egreso.</t>
    </r>
  </si>
  <si>
    <t>Técnico Medio, o estudiante universitario de tercer año mínimo en el área respectiva</t>
  </si>
  <si>
    <r>
      <rPr>
        <b/>
        <u/>
        <sz val="12"/>
        <color rgb="FF000000"/>
        <rFont val="Arial Narrow"/>
        <family val="2"/>
      </rPr>
      <t>Dos (2) años</t>
    </r>
    <r>
      <rPr>
        <sz val="12"/>
        <color rgb="FF000000"/>
        <rFont val="Arial Narrow"/>
        <family val="2"/>
      </rPr>
      <t xml:space="preserve"> 
a partir de la emisión del certificado.</t>
    </r>
  </si>
  <si>
    <r>
      <rPr>
        <b/>
        <u/>
        <sz val="12"/>
        <color rgb="FF000000"/>
        <rFont val="Arial Narrow"/>
        <family val="2"/>
      </rPr>
      <t xml:space="preserve">Diez (1) año  </t>
    </r>
    <r>
      <rPr>
        <sz val="12"/>
        <color rgb="FF000000"/>
        <rFont val="Arial Narrow"/>
        <family val="2"/>
      </rPr>
      <t>de experiencia laboral en cargos similares en el área sector publico y/o privado acreditada a partir de la emisión del certificado.</t>
    </r>
  </si>
  <si>
    <t>Bachiller en humanidades</t>
  </si>
  <si>
    <r>
      <rPr>
        <b/>
        <u/>
        <sz val="12"/>
        <color rgb="FF000000"/>
        <rFont val="Arial Narrow"/>
        <family val="2"/>
      </rPr>
      <t xml:space="preserve">Un (1) año
</t>
    </r>
    <r>
      <rPr>
        <sz val="12"/>
        <color rgb="FF000000"/>
        <rFont val="Arial Narrow"/>
        <family val="2"/>
      </rPr>
      <t>a partir de la emisión del título</t>
    </r>
  </si>
  <si>
    <r>
      <rPr>
        <b/>
        <u/>
        <sz val="12"/>
        <color rgb="FF000000"/>
        <rFont val="Arial Narrow"/>
        <family val="2"/>
      </rPr>
      <t xml:space="preserve">Seis (6) meses  </t>
    </r>
    <r>
      <rPr>
        <sz val="12"/>
        <color rgb="FF000000"/>
        <rFont val="Arial Narrow"/>
        <family val="2"/>
      </rPr>
      <t>de experiencia laboral en cargos similares en el área sector publico y/o privado acreditada a partir de la emisión del título</t>
    </r>
  </si>
  <si>
    <t>El nivel 1, es considerado de Libre Nombramiento designada mediante Resolución Supremay será elegido de una terna elevada por el Directorio.</t>
  </si>
  <si>
    <t>El nivel 10, en el caso de contratación de Chofer, mínimamente debera contar con la licencia de conducir Categoría C y 6 meses de experiencia.</t>
  </si>
  <si>
    <t>FIRMA Y SELLO
RRHH</t>
  </si>
  <si>
    <t>FIRMA Y SELLO
DAF</t>
  </si>
  <si>
    <t>FIRMA Y SELLO
DAJ</t>
  </si>
  <si>
    <t>FIRMA Y SELLO
MAE</t>
  </si>
  <si>
    <t>DIRECTOR GENERAL EJECUTIVO</t>
  </si>
  <si>
    <t>PROFESIONAL I</t>
  </si>
  <si>
    <t>PROFESIONAL II</t>
  </si>
  <si>
    <t>TECNICO I</t>
  </si>
  <si>
    <t>TECNICO II</t>
  </si>
  <si>
    <t>CODIGO DE ENTIDAD - NOMBRE DE ENTIDAD</t>
  </si>
  <si>
    <t>CODIGO DE RECURSO - NOMBRE DEL RECURSO</t>
  </si>
  <si>
    <t>CODIGO DEL ORGANISMO - NOMBRE DEL ORGANISMO</t>
  </si>
  <si>
    <t>TIPO DE GASTO</t>
  </si>
  <si>
    <t>TOTAL COSTO MENSUAL</t>
  </si>
  <si>
    <t>DIRECTOR</t>
  </si>
  <si>
    <t>JEFE DE UNIDAD</t>
  </si>
  <si>
    <t>FRECUENCIA</t>
  </si>
  <si>
    <t>SUELDO O HABER BÁSICO</t>
  </si>
  <si>
    <t>NOMBRE DE LA INSTITUCION CABEZA DE SECTOR</t>
  </si>
  <si>
    <t>NOMBRE DE LA ENTIDAD</t>
  </si>
  <si>
    <t>Dirigir, administrar, planificar, organizar, coordinar, y ejecutar todas acciones y actividades de caracter institucional en el marco de sus competencias y establecidos en el contrato….</t>
  </si>
  <si>
    <t>Analizar, seguimiento y apoyo en el marco de sus funciones establecidas en el contrato y ….</t>
  </si>
  <si>
    <t>Seguimiento y apoyo en el marco de sus funciones establecidas en el contrato …..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</si>
</sst>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"/>
  </numFmts>
  <fonts count="6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 Rounded MT Bold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8"/>
      <name val="Arial"/>
      <family val="2"/>
    </font>
    <font>
      <sz val="11"/>
      <color theme="1"/>
      <name val="Arial"/>
      <family val="2"/>
    </font>
    <font>
      <sz val="8"/>
      <name val="Arial"/>
      <family val="2"/>
    </font>
    <font>
      <b/>
      <sz val="9"/>
      <color rgb="FFFF0000"/>
      <name val="Arial"/>
      <family val="2"/>
    </font>
    <font>
      <sz val="11"/>
      <name val="Arial"/>
      <family val="2"/>
    </font>
    <font>
      <sz val="11"/>
      <color rgb="FFFF0000"/>
      <name val="Arial"/>
      <family val="2"/>
    </font>
    <font>
      <sz val="9"/>
      <name val="Arial"/>
      <family val="2"/>
    </font>
    <font>
      <b/>
      <sz val="14"/>
      <color theme="1"/>
      <name val="Arial Black"/>
      <family val="2"/>
    </font>
    <font>
      <b/>
      <sz val="16"/>
      <color theme="1"/>
      <name val="Arial Narrow"/>
      <family val="2"/>
    </font>
    <font>
      <b/>
      <sz val="9.5"/>
      <color theme="1"/>
      <name val="Calibri"/>
      <family val="2"/>
    </font>
    <font>
      <i/>
      <sz val="10"/>
      <color rgb="FFC00000"/>
      <name val="Arial Narrow"/>
      <family val="2"/>
    </font>
    <font>
      <sz val="8"/>
      <color theme="1"/>
      <name val="Times New Roman"/>
      <family val="1"/>
    </font>
    <font>
      <b/>
      <sz val="7.5"/>
      <color rgb="FF000000"/>
      <name val="Calibri"/>
      <family val="2"/>
    </font>
    <font>
      <b/>
      <sz val="7.5"/>
      <color theme="1"/>
      <name val="Calibri"/>
      <family val="2"/>
    </font>
    <font>
      <sz val="10"/>
      <color theme="1"/>
      <name val="Times New Roman"/>
      <family val="1"/>
    </font>
    <font>
      <sz val="5.5"/>
      <color theme="1"/>
      <name val="Times New Roman"/>
      <family val="1"/>
    </font>
    <font>
      <b/>
      <sz val="5.5"/>
      <color rgb="FF000000"/>
      <name val="Times New Roman"/>
      <family val="1"/>
    </font>
    <font>
      <sz val="9"/>
      <color theme="1"/>
      <name val="Calibri"/>
      <family val="2"/>
    </font>
    <font>
      <sz val="9"/>
      <color theme="1"/>
      <name val="Arial"/>
      <family val="2"/>
    </font>
    <font>
      <sz val="9"/>
      <color theme="1"/>
      <name val="Cambria"/>
      <family val="1"/>
    </font>
    <font>
      <sz val="9"/>
      <color theme="1"/>
      <name val="Wingdings"/>
      <charset val="2"/>
    </font>
    <font>
      <sz val="9"/>
      <color theme="1"/>
      <name val="Times New Roman"/>
      <family val="1"/>
    </font>
    <font>
      <b/>
      <sz val="7"/>
      <color theme="1"/>
      <name val="Calibri"/>
      <family val="2"/>
    </font>
    <font>
      <sz val="7"/>
      <color theme="1"/>
      <name val="Calibri"/>
      <family val="2"/>
    </font>
    <font>
      <sz val="9.5"/>
      <color theme="1"/>
      <name val="Times New Roman"/>
      <family val="1"/>
    </font>
    <font>
      <b/>
      <sz val="16"/>
      <color theme="1"/>
      <name val="Calibri"/>
      <family val="2"/>
      <scheme val="minor"/>
    </font>
    <font>
      <b/>
      <sz val="11"/>
      <color theme="0"/>
      <name val="Arial"/>
      <family val="2"/>
    </font>
    <font>
      <b/>
      <sz val="8"/>
      <color theme="0"/>
      <name val="Arial"/>
      <family val="2"/>
    </font>
    <font>
      <sz val="11"/>
      <color theme="0"/>
      <name val="Arial"/>
      <family val="2"/>
    </font>
    <font>
      <b/>
      <sz val="9"/>
      <color theme="0"/>
      <name val="Arial"/>
      <family val="2"/>
    </font>
    <font>
      <sz val="10"/>
      <color theme="1"/>
      <name val="Calibri"/>
      <family val="2"/>
      <scheme val="minor"/>
    </font>
    <font>
      <sz val="9"/>
      <name val="SansSerif"/>
    </font>
    <font>
      <sz val="8"/>
      <color rgb="FFFF0000"/>
      <name val="Arial"/>
      <family val="2"/>
    </font>
    <font>
      <sz val="11"/>
      <color rgb="FFFF000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9"/>
      <color theme="0"/>
      <name val="Arial"/>
      <family val="2"/>
    </font>
    <font>
      <sz val="8"/>
      <color theme="0"/>
      <name val="Arial"/>
      <family val="2"/>
    </font>
    <font>
      <b/>
      <sz val="9"/>
      <name val="Arial"/>
      <family val="2"/>
    </font>
    <font>
      <sz val="8"/>
      <color theme="1"/>
      <name val="Calibri"/>
      <family val="2"/>
      <scheme val="minor"/>
    </font>
    <font>
      <b/>
      <sz val="16"/>
      <color theme="1"/>
      <name val="Algerian"/>
      <family val="5"/>
    </font>
    <font>
      <sz val="11"/>
      <color theme="1"/>
      <name val="Algerian"/>
      <family val="5"/>
    </font>
    <font>
      <b/>
      <sz val="11"/>
      <color theme="0"/>
      <name val="Calibri"/>
      <family val="2"/>
      <scheme val="minor"/>
    </font>
    <font>
      <b/>
      <sz val="9"/>
      <color theme="1"/>
      <name val="Arial"/>
      <family val="2"/>
    </font>
    <font>
      <b/>
      <sz val="11"/>
      <name val="Calibri"/>
      <family val="2"/>
      <scheme val="minor"/>
    </font>
    <font>
      <b/>
      <sz val="15"/>
      <name val="Algerian"/>
      <family val="5"/>
    </font>
    <font>
      <b/>
      <sz val="12"/>
      <color theme="1"/>
      <name val="Arial Rounded MT Bold"/>
      <family val="2"/>
    </font>
    <font>
      <b/>
      <sz val="12"/>
      <name val="Arial Rounded MT Bold"/>
      <family val="2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sz val="12"/>
      <name val="Arial Narrow"/>
      <family val="2"/>
    </font>
    <font>
      <sz val="10"/>
      <color theme="0"/>
      <name val="Arial Narrow"/>
      <family val="2"/>
    </font>
    <font>
      <b/>
      <sz val="10"/>
      <color theme="0"/>
      <name val="Arial Narrow"/>
      <family val="2"/>
    </font>
    <font>
      <b/>
      <sz val="14"/>
      <color rgb="FF000000"/>
      <name val="Arial Narrow"/>
      <family val="2"/>
    </font>
    <font>
      <sz val="12"/>
      <color rgb="FF000000"/>
      <name val="Arial Narrow"/>
      <family val="2"/>
    </font>
    <font>
      <b/>
      <sz val="12"/>
      <color rgb="FF000000"/>
      <name val="Arial Narrow"/>
      <family val="2"/>
    </font>
    <font>
      <b/>
      <u/>
      <sz val="12"/>
      <color rgb="FF000000"/>
      <name val="Arial Narrow"/>
      <family val="2"/>
    </font>
  </fonts>
  <fills count="2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B8CCE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DDEBF7"/>
        <bgColor rgb="FFDDEBF7"/>
      </patternFill>
    </fill>
    <fill>
      <patternFill patternType="solid">
        <fgColor theme="0"/>
        <bgColor rgb="FFDDEBF7"/>
      </patternFill>
    </fill>
  </fills>
  <borders count="8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thick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/>
      <diagonal/>
    </border>
    <border>
      <left/>
      <right style="thick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ck">
        <color rgb="FF000000"/>
      </right>
      <top/>
      <bottom/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thick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thick">
        <color rgb="FF000000"/>
      </right>
      <top/>
      <bottom style="medium">
        <color indexed="64"/>
      </bottom>
      <diagonal/>
    </border>
    <border>
      <left style="thick">
        <color rgb="FF000000"/>
      </left>
      <right style="thick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0" fontId="2" fillId="0" borderId="0">
      <alignment vertical="center"/>
    </xf>
  </cellStyleXfs>
  <cellXfs count="502">
    <xf numFmtId="0" fontId="0" fillId="0" borderId="0" xfId="0"/>
    <xf numFmtId="0" fontId="0" fillId="0" borderId="0" xfId="0" applyAlignment="1">
      <alignment vertical="center"/>
    </xf>
    <xf numFmtId="0" fontId="4" fillId="2" borderId="0" xfId="1" applyFont="1" applyFill="1" applyAlignment="1">
      <alignment horizontal="center" vertical="center" wrapText="1"/>
    </xf>
    <xf numFmtId="0" fontId="4" fillId="2" borderId="0" xfId="1" applyFont="1" applyFill="1" applyAlignment="1">
      <alignment horizontal="center" vertical="center"/>
    </xf>
    <xf numFmtId="0" fontId="5" fillId="2" borderId="0" xfId="2" applyFont="1" applyFill="1" applyAlignment="1">
      <alignment horizontal="right" vertical="center" wrapText="1"/>
    </xf>
    <xf numFmtId="0" fontId="5" fillId="2" borderId="0" xfId="2" applyFont="1" applyFill="1" applyAlignment="1">
      <alignment horizontal="center" vertical="center" wrapText="1"/>
    </xf>
    <xf numFmtId="3" fontId="5" fillId="2" borderId="0" xfId="2" applyNumberFormat="1" applyFont="1" applyFill="1" applyAlignment="1">
      <alignment horizontal="right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7" fillId="0" borderId="0" xfId="3" applyFont="1" applyAlignment="1">
      <alignment vertical="center" wrapText="1"/>
    </xf>
    <xf numFmtId="0" fontId="6" fillId="2" borderId="4" xfId="1" applyFont="1" applyFill="1" applyBorder="1" applyAlignment="1">
      <alignment vertical="center" wrapText="1"/>
    </xf>
    <xf numFmtId="0" fontId="6" fillId="2" borderId="5" xfId="1" applyFont="1" applyFill="1" applyBorder="1" applyAlignment="1">
      <alignment horizontal="center" vertical="center" wrapText="1"/>
    </xf>
    <xf numFmtId="0" fontId="6" fillId="2" borderId="5" xfId="1" applyFont="1" applyFill="1" applyBorder="1" applyAlignment="1">
      <alignment vertical="center" wrapText="1"/>
    </xf>
    <xf numFmtId="0" fontId="7" fillId="0" borderId="2" xfId="3" applyFont="1" applyBorder="1" applyAlignment="1">
      <alignment vertical="center" wrapText="1"/>
    </xf>
    <xf numFmtId="0" fontId="8" fillId="0" borderId="2" xfId="2" applyFont="1" applyBorder="1" applyAlignment="1">
      <alignment vertical="center" wrapText="1"/>
    </xf>
    <xf numFmtId="0" fontId="8" fillId="0" borderId="2" xfId="2" applyFont="1" applyBorder="1" applyAlignment="1">
      <alignment horizontal="center" vertical="center" wrapText="1"/>
    </xf>
    <xf numFmtId="3" fontId="8" fillId="0" borderId="2" xfId="2" applyNumberFormat="1" applyFont="1" applyBorder="1" applyAlignment="1">
      <alignment horizontal="center" vertical="center" wrapText="1"/>
    </xf>
    <xf numFmtId="4" fontId="8" fillId="0" borderId="2" xfId="2" applyNumberFormat="1" applyFont="1" applyBorder="1" applyAlignment="1">
      <alignment horizontal="right" vertical="center" wrapText="1"/>
    </xf>
    <xf numFmtId="3" fontId="8" fillId="0" borderId="2" xfId="2" applyNumberFormat="1" applyFont="1" applyBorder="1" applyAlignment="1">
      <alignment horizontal="right" vertical="center" wrapText="1"/>
    </xf>
    <xf numFmtId="4" fontId="8" fillId="0" borderId="2" xfId="2" applyNumberFormat="1" applyFont="1" applyBorder="1" applyAlignment="1">
      <alignment horizontal="center" vertical="center" wrapText="1"/>
    </xf>
    <xf numFmtId="3" fontId="8" fillId="0" borderId="4" xfId="2" applyNumberFormat="1" applyFont="1" applyBorder="1" applyAlignment="1">
      <alignment horizontal="right" vertical="center" wrapText="1"/>
    </xf>
    <xf numFmtId="0" fontId="6" fillId="0" borderId="2" xfId="2" applyFont="1" applyBorder="1" applyAlignment="1">
      <alignment vertical="center" wrapText="1"/>
    </xf>
    <xf numFmtId="0" fontId="6" fillId="0" borderId="4" xfId="1" applyFont="1" applyBorder="1" applyAlignment="1">
      <alignment vertical="center" wrapText="1"/>
    </xf>
    <xf numFmtId="0" fontId="6" fillId="0" borderId="5" xfId="1" applyFont="1" applyBorder="1" applyAlignment="1">
      <alignment horizontal="center" vertical="center" wrapText="1"/>
    </xf>
    <xf numFmtId="4" fontId="6" fillId="0" borderId="5" xfId="1" applyNumberFormat="1" applyFont="1" applyBorder="1" applyAlignment="1">
      <alignment vertical="center" wrapText="1"/>
    </xf>
    <xf numFmtId="0" fontId="6" fillId="0" borderId="5" xfId="1" applyFont="1" applyBorder="1" applyAlignment="1">
      <alignment vertical="center" wrapText="1"/>
    </xf>
    <xf numFmtId="0" fontId="8" fillId="0" borderId="4" xfId="1" applyFont="1" applyBorder="1" applyAlignment="1">
      <alignment vertical="center" wrapText="1"/>
    </xf>
    <xf numFmtId="4" fontId="8" fillId="0" borderId="2" xfId="1" applyNumberFormat="1" applyFont="1" applyBorder="1" applyAlignment="1">
      <alignment vertical="center" wrapText="1"/>
    </xf>
    <xf numFmtId="0" fontId="8" fillId="2" borderId="2" xfId="2" applyFont="1" applyFill="1" applyBorder="1" applyAlignment="1">
      <alignment horizontal="center" vertical="center" wrapText="1"/>
    </xf>
    <xf numFmtId="3" fontId="8" fillId="2" borderId="2" xfId="2" applyNumberFormat="1" applyFont="1" applyFill="1" applyBorder="1" applyAlignment="1">
      <alignment horizontal="center" vertical="center" wrapText="1"/>
    </xf>
    <xf numFmtId="4" fontId="8" fillId="2" borderId="2" xfId="2" applyNumberFormat="1" applyFont="1" applyFill="1" applyBorder="1" applyAlignment="1">
      <alignment horizontal="right" vertical="center" wrapText="1"/>
    </xf>
    <xf numFmtId="3" fontId="8" fillId="2" borderId="2" xfId="2" applyNumberFormat="1" applyFont="1" applyFill="1" applyBorder="1" applyAlignment="1">
      <alignment horizontal="right" vertical="center" wrapText="1"/>
    </xf>
    <xf numFmtId="4" fontId="5" fillId="2" borderId="0" xfId="2" applyNumberFormat="1" applyFont="1" applyFill="1" applyAlignment="1">
      <alignment horizontal="right" vertical="center" wrapText="1"/>
    </xf>
    <xf numFmtId="0" fontId="6" fillId="3" borderId="2" xfId="1" applyFont="1" applyFill="1" applyBorder="1" applyAlignment="1">
      <alignment vertical="center" wrapText="1"/>
    </xf>
    <xf numFmtId="0" fontId="6" fillId="3" borderId="2" xfId="1" applyFont="1" applyFill="1" applyBorder="1" applyAlignment="1">
      <alignment horizontal="center" vertical="center" wrapText="1"/>
    </xf>
    <xf numFmtId="0" fontId="6" fillId="3" borderId="4" xfId="1" applyFont="1" applyFill="1" applyBorder="1" applyAlignment="1">
      <alignment horizontal="center" vertical="center" wrapText="1"/>
    </xf>
    <xf numFmtId="0" fontId="6" fillId="3" borderId="5" xfId="1" applyFont="1" applyFill="1" applyBorder="1" applyAlignment="1">
      <alignment vertical="center" wrapText="1"/>
    </xf>
    <xf numFmtId="4" fontId="6" fillId="3" borderId="5" xfId="1" applyNumberFormat="1" applyFont="1" applyFill="1" applyBorder="1" applyAlignment="1">
      <alignment vertical="center" wrapText="1"/>
    </xf>
    <xf numFmtId="4" fontId="6" fillId="3" borderId="2" xfId="1" applyNumberFormat="1" applyFont="1" applyFill="1" applyBorder="1" applyAlignment="1">
      <alignment horizontal="right" vertical="center" wrapText="1"/>
    </xf>
    <xf numFmtId="3" fontId="6" fillId="3" borderId="2" xfId="1" applyNumberFormat="1" applyFont="1" applyFill="1" applyBorder="1" applyAlignment="1">
      <alignment horizontal="right" vertical="center" wrapText="1"/>
    </xf>
    <xf numFmtId="3" fontId="6" fillId="3" borderId="4" xfId="1" applyNumberFormat="1" applyFont="1" applyFill="1" applyBorder="1" applyAlignment="1">
      <alignment horizontal="right" vertical="center" wrapText="1"/>
    </xf>
    <xf numFmtId="3" fontId="6" fillId="3" borderId="2" xfId="2" applyNumberFormat="1" applyFont="1" applyFill="1" applyBorder="1" applyAlignment="1">
      <alignment horizontal="right" vertical="center" wrapText="1"/>
    </xf>
    <xf numFmtId="3" fontId="6" fillId="3" borderId="4" xfId="2" applyNumberFormat="1" applyFont="1" applyFill="1" applyBorder="1" applyAlignment="1">
      <alignment horizontal="right" vertical="center" wrapText="1"/>
    </xf>
    <xf numFmtId="0" fontId="7" fillId="3" borderId="2" xfId="3" applyFont="1" applyFill="1" applyBorder="1" applyAlignment="1">
      <alignment horizontal="center" vertical="top" wrapText="1"/>
    </xf>
    <xf numFmtId="3" fontId="9" fillId="2" borderId="0" xfId="2" applyNumberFormat="1" applyFont="1" applyFill="1" applyAlignment="1">
      <alignment horizontal="right" vertical="center" wrapText="1"/>
    </xf>
    <xf numFmtId="0" fontId="10" fillId="0" borderId="0" xfId="3" applyFont="1" applyAlignment="1">
      <alignment horizontal="center" vertical="top" wrapText="1"/>
    </xf>
    <xf numFmtId="0" fontId="10" fillId="0" borderId="0" xfId="3" applyFont="1" applyAlignment="1">
      <alignment vertical="center" wrapText="1"/>
    </xf>
    <xf numFmtId="3" fontId="2" fillId="0" borderId="0" xfId="3" applyNumberFormat="1" applyAlignment="1">
      <alignment horizontal="center" vertical="center" wrapText="1"/>
    </xf>
    <xf numFmtId="3" fontId="5" fillId="4" borderId="2" xfId="3" applyNumberFormat="1" applyFont="1" applyFill="1" applyBorder="1" applyAlignment="1">
      <alignment vertical="center" wrapText="1"/>
    </xf>
    <xf numFmtId="4" fontId="11" fillId="0" borderId="0" xfId="3" applyNumberFormat="1" applyFont="1" applyAlignment="1">
      <alignment horizontal="center" vertical="center" wrapText="1"/>
    </xf>
    <xf numFmtId="4" fontId="5" fillId="4" borderId="2" xfId="3" applyNumberFormat="1" applyFont="1" applyFill="1" applyBorder="1" applyAlignment="1">
      <alignment vertical="center" wrapText="1"/>
    </xf>
    <xf numFmtId="3" fontId="12" fillId="0" borderId="0" xfId="3" applyNumberFormat="1" applyFont="1" applyAlignment="1">
      <alignment horizontal="center" vertical="center" wrapText="1"/>
    </xf>
    <xf numFmtId="4" fontId="10" fillId="0" borderId="0" xfId="3" applyNumberFormat="1" applyFont="1" applyAlignment="1">
      <alignment horizontal="center" vertical="center" wrapText="1"/>
    </xf>
    <xf numFmtId="4" fontId="5" fillId="5" borderId="2" xfId="3" applyNumberFormat="1" applyFont="1" applyFill="1" applyBorder="1" applyAlignment="1">
      <alignment vertical="center" wrapText="1"/>
    </xf>
    <xf numFmtId="4" fontId="0" fillId="0" borderId="0" xfId="0" applyNumberFormat="1"/>
    <xf numFmtId="0" fontId="5" fillId="2" borderId="0" xfId="3" applyFont="1" applyFill="1" applyAlignment="1">
      <alignment horizontal="center" vertical="center" wrapText="1"/>
    </xf>
    <xf numFmtId="4" fontId="5" fillId="2" borderId="0" xfId="3" applyNumberFormat="1" applyFont="1" applyFill="1" applyAlignment="1">
      <alignment vertical="center" wrapText="1"/>
    </xf>
    <xf numFmtId="4" fontId="0" fillId="0" borderId="0" xfId="0" applyNumberFormat="1" applyAlignment="1">
      <alignment vertical="center"/>
    </xf>
    <xf numFmtId="4" fontId="1" fillId="6" borderId="0" xfId="0" applyNumberFormat="1" applyFont="1" applyFill="1" applyAlignment="1">
      <alignment vertical="center"/>
    </xf>
    <xf numFmtId="4" fontId="1" fillId="0" borderId="8" xfId="0" applyNumberFormat="1" applyFont="1" applyBorder="1"/>
    <xf numFmtId="0" fontId="0" fillId="2" borderId="0" xfId="0" applyFill="1"/>
    <xf numFmtId="0" fontId="13" fillId="0" borderId="0" xfId="0" applyFont="1"/>
    <xf numFmtId="0" fontId="15" fillId="0" borderId="0" xfId="0" applyFont="1" applyAlignment="1">
      <alignment horizontal="center" vertical="center"/>
    </xf>
    <xf numFmtId="0" fontId="17" fillId="7" borderId="10" xfId="0" applyFont="1" applyFill="1" applyBorder="1" applyAlignment="1">
      <alignment vertical="center" wrapText="1"/>
    </xf>
    <xf numFmtId="0" fontId="20" fillId="7" borderId="16" xfId="0" applyFont="1" applyFill="1" applyBorder="1" applyAlignment="1">
      <alignment vertical="center" wrapText="1"/>
    </xf>
    <xf numFmtId="0" fontId="18" fillId="7" borderId="16" xfId="0" applyFont="1" applyFill="1" applyBorder="1" applyAlignment="1">
      <alignment horizontal="center" vertical="center" wrapText="1"/>
    </xf>
    <xf numFmtId="0" fontId="20" fillId="7" borderId="22" xfId="0" applyFont="1" applyFill="1" applyBorder="1" applyAlignment="1">
      <alignment vertical="center" wrapText="1"/>
    </xf>
    <xf numFmtId="0" fontId="20" fillId="7" borderId="23" xfId="0" applyFont="1" applyFill="1" applyBorder="1" applyAlignment="1">
      <alignment vertical="center" wrapText="1"/>
    </xf>
    <xf numFmtId="0" fontId="21" fillId="7" borderId="26" xfId="0" applyFont="1" applyFill="1" applyBorder="1" applyAlignment="1">
      <alignment vertical="center" wrapText="1"/>
    </xf>
    <xf numFmtId="0" fontId="0" fillId="7" borderId="16" xfId="0" applyFill="1" applyBorder="1" applyAlignment="1">
      <alignment vertical="top" wrapText="1"/>
    </xf>
    <xf numFmtId="0" fontId="18" fillId="7" borderId="22" xfId="0" applyFont="1" applyFill="1" applyBorder="1" applyAlignment="1">
      <alignment horizontal="center" vertical="center" wrapText="1"/>
    </xf>
    <xf numFmtId="0" fontId="18" fillId="7" borderId="22" xfId="0" applyFont="1" applyFill="1" applyBorder="1" applyAlignment="1">
      <alignment vertical="center" wrapText="1"/>
    </xf>
    <xf numFmtId="0" fontId="18" fillId="7" borderId="22" xfId="0" applyFont="1" applyFill="1" applyBorder="1" applyAlignment="1">
      <alignment horizontal="left" vertical="center" wrapText="1" indent="5"/>
    </xf>
    <xf numFmtId="0" fontId="22" fillId="7" borderId="26" xfId="0" applyFont="1" applyFill="1" applyBorder="1" applyAlignment="1">
      <alignment horizontal="center" vertical="center" wrapText="1"/>
    </xf>
    <xf numFmtId="0" fontId="0" fillId="7" borderId="29" xfId="0" applyFill="1" applyBorder="1" applyAlignment="1">
      <alignment vertical="top" wrapText="1"/>
    </xf>
    <xf numFmtId="0" fontId="0" fillId="7" borderId="30" xfId="0" applyFill="1" applyBorder="1" applyAlignment="1">
      <alignment vertical="top" wrapText="1"/>
    </xf>
    <xf numFmtId="0" fontId="0" fillId="7" borderId="33" xfId="0" applyFill="1" applyBorder="1" applyAlignment="1">
      <alignment vertical="top" wrapText="1"/>
    </xf>
    <xf numFmtId="0" fontId="23" fillId="0" borderId="16" xfId="0" applyFont="1" applyBorder="1" applyAlignment="1">
      <alignment horizontal="center" vertical="center" wrapText="1"/>
    </xf>
    <xf numFmtId="0" fontId="23" fillId="0" borderId="22" xfId="0" applyFont="1" applyBorder="1" applyAlignment="1">
      <alignment horizontal="center" vertical="center" wrapText="1"/>
    </xf>
    <xf numFmtId="0" fontId="24" fillId="0" borderId="22" xfId="0" applyFont="1" applyBorder="1" applyAlignment="1">
      <alignment horizontal="left" vertical="center" wrapText="1" indent="1"/>
    </xf>
    <xf numFmtId="0" fontId="23" fillId="0" borderId="29" xfId="0" applyFont="1" applyBorder="1" applyAlignment="1">
      <alignment horizontal="center" vertical="center" wrapText="1"/>
    </xf>
    <xf numFmtId="0" fontId="23" fillId="0" borderId="30" xfId="0" applyFont="1" applyBorder="1" applyAlignment="1">
      <alignment horizontal="center" vertical="center" wrapText="1"/>
    </xf>
    <xf numFmtId="4" fontId="24" fillId="0" borderId="30" xfId="0" applyNumberFormat="1" applyFont="1" applyBorder="1" applyAlignment="1">
      <alignment horizontal="left" vertical="center" wrapText="1" indent="1"/>
    </xf>
    <xf numFmtId="0" fontId="26" fillId="0" borderId="22" xfId="0" applyFont="1" applyBorder="1" applyAlignment="1">
      <alignment horizontal="left" vertical="center" wrapText="1" indent="4"/>
    </xf>
    <xf numFmtId="0" fontId="26" fillId="0" borderId="38" xfId="0" applyFont="1" applyBorder="1" applyAlignment="1">
      <alignment horizontal="left" vertical="center" wrapText="1" indent="4"/>
    </xf>
    <xf numFmtId="0" fontId="26" fillId="0" borderId="30" xfId="0" applyFont="1" applyBorder="1" applyAlignment="1">
      <alignment horizontal="left" vertical="center" wrapText="1" indent="4"/>
    </xf>
    <xf numFmtId="0" fontId="26" fillId="0" borderId="34" xfId="0" applyFont="1" applyBorder="1" applyAlignment="1">
      <alignment horizontal="left" vertical="center" wrapText="1" indent="4"/>
    </xf>
    <xf numFmtId="0" fontId="26" fillId="0" borderId="27" xfId="0" applyFont="1" applyBorder="1" applyAlignment="1">
      <alignment horizontal="left" vertical="center" wrapText="1" indent="4"/>
    </xf>
    <xf numFmtId="0" fontId="26" fillId="0" borderId="13" xfId="0" applyFont="1" applyBorder="1" applyAlignment="1">
      <alignment horizontal="left" vertical="center" wrapText="1" indent="4"/>
    </xf>
    <xf numFmtId="0" fontId="26" fillId="0" borderId="43" xfId="0" applyFont="1" applyBorder="1" applyAlignment="1">
      <alignment horizontal="left" vertical="center" wrapText="1" indent="4"/>
    </xf>
    <xf numFmtId="0" fontId="19" fillId="0" borderId="0" xfId="0" applyFont="1" applyAlignment="1">
      <alignment horizontal="left" vertical="center" indent="1"/>
    </xf>
    <xf numFmtId="0" fontId="30" fillId="0" borderId="0" xfId="0" applyFont="1" applyAlignment="1">
      <alignment vertical="center"/>
    </xf>
    <xf numFmtId="0" fontId="28" fillId="0" borderId="0" xfId="0" applyFont="1" applyAlignment="1">
      <alignment horizontal="left" vertical="center" indent="1"/>
    </xf>
    <xf numFmtId="0" fontId="29" fillId="0" borderId="0" xfId="0" applyFont="1" applyAlignment="1">
      <alignment horizontal="left" vertical="center" indent="1"/>
    </xf>
    <xf numFmtId="0" fontId="0" fillId="0" borderId="7" xfId="0" applyBorder="1" applyAlignment="1">
      <alignment horizontal="center"/>
    </xf>
    <xf numFmtId="4" fontId="0" fillId="0" borderId="7" xfId="0" applyNumberFormat="1" applyBorder="1"/>
    <xf numFmtId="4" fontId="0" fillId="0" borderId="48" xfId="0" applyNumberFormat="1" applyBorder="1"/>
    <xf numFmtId="0" fontId="0" fillId="0" borderId="2" xfId="0" applyBorder="1" applyAlignment="1">
      <alignment horizontal="center"/>
    </xf>
    <xf numFmtId="4" fontId="1" fillId="0" borderId="52" xfId="0" applyNumberFormat="1" applyFont="1" applyBorder="1"/>
    <xf numFmtId="4" fontId="1" fillId="0" borderId="55" xfId="0" applyNumberFormat="1" applyFont="1" applyBorder="1"/>
    <xf numFmtId="0" fontId="0" fillId="0" borderId="47" xfId="0" applyBorder="1" applyAlignment="1">
      <alignment horizontal="center"/>
    </xf>
    <xf numFmtId="0" fontId="7" fillId="0" borderId="0" xfId="0" applyFont="1" applyAlignment="1">
      <alignment vertical="center" wrapText="1"/>
    </xf>
    <xf numFmtId="0" fontId="6" fillId="2" borderId="2" xfId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top" wrapText="1"/>
    </xf>
    <xf numFmtId="0" fontId="6" fillId="2" borderId="6" xfId="1" applyFont="1" applyFill="1" applyBorder="1" applyAlignment="1">
      <alignment vertical="center" wrapText="1"/>
    </xf>
    <xf numFmtId="0" fontId="6" fillId="0" borderId="6" xfId="1" applyFont="1" applyBorder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6" fillId="2" borderId="2" xfId="1" applyFont="1" applyFill="1" applyBorder="1" applyAlignment="1">
      <alignment vertical="center" wrapText="1"/>
    </xf>
    <xf numFmtId="4" fontId="6" fillId="2" borderId="5" xfId="1" applyNumberFormat="1" applyFont="1" applyFill="1" applyBorder="1" applyAlignment="1">
      <alignment vertical="center" wrapText="1"/>
    </xf>
    <xf numFmtId="4" fontId="6" fillId="2" borderId="6" xfId="1" applyNumberFormat="1" applyFont="1" applyFill="1" applyBorder="1" applyAlignment="1">
      <alignment vertical="center" wrapText="1"/>
    </xf>
    <xf numFmtId="3" fontId="6" fillId="2" borderId="2" xfId="1" applyNumberFormat="1" applyFont="1" applyFill="1" applyBorder="1" applyAlignment="1">
      <alignment horizontal="right" vertical="center" wrapText="1"/>
    </xf>
    <xf numFmtId="0" fontId="32" fillId="2" borderId="5" xfId="2" applyFont="1" applyFill="1" applyBorder="1" applyAlignment="1">
      <alignment horizontal="center" vertical="center" wrapText="1"/>
    </xf>
    <xf numFmtId="4" fontId="33" fillId="2" borderId="5" xfId="2" applyNumberFormat="1" applyFont="1" applyFill="1" applyBorder="1" applyAlignment="1">
      <alignment horizontal="right" vertical="center" wrapText="1"/>
    </xf>
    <xf numFmtId="4" fontId="6" fillId="2" borderId="5" xfId="2" applyNumberFormat="1" applyFont="1" applyFill="1" applyBorder="1" applyAlignment="1">
      <alignment horizontal="right" vertical="center" wrapText="1"/>
    </xf>
    <xf numFmtId="4" fontId="33" fillId="2" borderId="5" xfId="2" applyNumberFormat="1" applyFont="1" applyFill="1" applyBorder="1" applyAlignment="1">
      <alignment horizontal="center" vertical="center" wrapText="1"/>
    </xf>
    <xf numFmtId="3" fontId="32" fillId="2" borderId="5" xfId="2" applyNumberFormat="1" applyFont="1" applyFill="1" applyBorder="1" applyAlignment="1">
      <alignment horizontal="right" vertical="center" wrapText="1"/>
    </xf>
    <xf numFmtId="3" fontId="6" fillId="2" borderId="2" xfId="2" applyNumberFormat="1" applyFont="1" applyFill="1" applyBorder="1" applyAlignment="1">
      <alignment horizontal="right" vertical="center" wrapText="1"/>
    </xf>
    <xf numFmtId="0" fontId="32" fillId="2" borderId="0" xfId="2" applyFont="1" applyFill="1" applyAlignment="1">
      <alignment horizontal="right" vertical="center" wrapText="1"/>
    </xf>
    <xf numFmtId="0" fontId="32" fillId="2" borderId="0" xfId="2" applyFont="1" applyFill="1" applyAlignment="1">
      <alignment horizontal="center" vertical="center" wrapText="1"/>
    </xf>
    <xf numFmtId="3" fontId="32" fillId="2" borderId="0" xfId="2" applyNumberFormat="1" applyFont="1" applyFill="1" applyAlignment="1">
      <alignment horizontal="right" vertical="center" wrapText="1"/>
    </xf>
    <xf numFmtId="3" fontId="34" fillId="0" borderId="0" xfId="0" applyNumberFormat="1" applyFont="1" applyAlignment="1">
      <alignment vertical="center" wrapText="1"/>
    </xf>
    <xf numFmtId="4" fontId="34" fillId="0" borderId="0" xfId="0" applyNumberFormat="1" applyFont="1" applyAlignment="1">
      <alignment vertical="center" wrapText="1"/>
    </xf>
    <xf numFmtId="4" fontId="7" fillId="0" borderId="0" xfId="0" applyNumberFormat="1" applyFont="1" applyAlignment="1">
      <alignment vertical="center" wrapText="1"/>
    </xf>
    <xf numFmtId="0" fontId="6" fillId="2" borderId="0" xfId="1" applyFont="1" applyFill="1" applyAlignment="1">
      <alignment vertical="center" wrapText="1"/>
    </xf>
    <xf numFmtId="0" fontId="6" fillId="2" borderId="0" xfId="1" applyFont="1" applyFill="1" applyAlignment="1">
      <alignment horizontal="center" vertical="center" wrapText="1"/>
    </xf>
    <xf numFmtId="4" fontId="6" fillId="2" borderId="0" xfId="1" applyNumberFormat="1" applyFont="1" applyFill="1" applyAlignment="1">
      <alignment vertical="center" wrapText="1"/>
    </xf>
    <xf numFmtId="3" fontId="6" fillId="2" borderId="0" xfId="1" applyNumberFormat="1" applyFont="1" applyFill="1" applyAlignment="1">
      <alignment horizontal="right" vertical="center" wrapText="1"/>
    </xf>
    <xf numFmtId="3" fontId="6" fillId="2" borderId="0" xfId="2" applyNumberFormat="1" applyFont="1" applyFill="1" applyAlignment="1">
      <alignment horizontal="right" vertical="center" wrapText="1"/>
    </xf>
    <xf numFmtId="0" fontId="0" fillId="2" borderId="0" xfId="0" applyFill="1" applyAlignment="1">
      <alignment vertical="center"/>
    </xf>
    <xf numFmtId="0" fontId="1" fillId="8" borderId="44" xfId="0" applyFont="1" applyFill="1" applyBorder="1" applyAlignment="1">
      <alignment horizontal="center" vertical="center" wrapText="1"/>
    </xf>
    <xf numFmtId="0" fontId="1" fillId="8" borderId="45" xfId="0" applyFont="1" applyFill="1" applyBorder="1" applyAlignment="1">
      <alignment horizontal="center" vertical="center" wrapText="1"/>
    </xf>
    <xf numFmtId="0" fontId="1" fillId="8" borderId="46" xfId="0" applyFont="1" applyFill="1" applyBorder="1" applyAlignment="1">
      <alignment horizontal="center" vertical="center" wrapText="1"/>
    </xf>
    <xf numFmtId="0" fontId="7" fillId="2" borderId="0" xfId="3" applyFont="1" applyFill="1" applyAlignment="1">
      <alignment horizontal="center" vertical="top" wrapText="1"/>
    </xf>
    <xf numFmtId="4" fontId="0" fillId="2" borderId="0" xfId="0" applyNumberFormat="1" applyFill="1" applyAlignment="1">
      <alignment vertical="center"/>
    </xf>
    <xf numFmtId="0" fontId="10" fillId="0" borderId="0" xfId="3" applyFont="1" applyAlignment="1">
      <alignment horizontal="center" vertical="center" wrapText="1"/>
    </xf>
    <xf numFmtId="4" fontId="0" fillId="2" borderId="0" xfId="0" applyNumberFormat="1" applyFill="1"/>
    <xf numFmtId="0" fontId="33" fillId="9" borderId="2" xfId="1" applyFont="1" applyFill="1" applyBorder="1" applyAlignment="1">
      <alignment horizontal="center" vertical="center" wrapText="1"/>
    </xf>
    <xf numFmtId="0" fontId="33" fillId="9" borderId="6" xfId="1" applyFont="1" applyFill="1" applyBorder="1" applyAlignment="1">
      <alignment horizontal="center" vertical="center" wrapText="1"/>
    </xf>
    <xf numFmtId="0" fontId="33" fillId="9" borderId="2" xfId="1" applyFont="1" applyFill="1" applyBorder="1" applyAlignment="1">
      <alignment vertical="center"/>
    </xf>
    <xf numFmtId="0" fontId="33" fillId="9" borderId="2" xfId="1" applyFont="1" applyFill="1" applyBorder="1" applyAlignment="1">
      <alignment vertical="center" wrapText="1"/>
    </xf>
    <xf numFmtId="0" fontId="6" fillId="10" borderId="4" xfId="1" applyFont="1" applyFill="1" applyBorder="1" applyAlignment="1">
      <alignment vertical="center" wrapText="1"/>
    </xf>
    <xf numFmtId="0" fontId="6" fillId="10" borderId="5" xfId="1" applyFont="1" applyFill="1" applyBorder="1" applyAlignment="1">
      <alignment horizontal="center" vertical="center" wrapText="1"/>
    </xf>
    <xf numFmtId="0" fontId="6" fillId="10" borderId="5" xfId="1" applyFont="1" applyFill="1" applyBorder="1" applyAlignment="1">
      <alignment vertical="center" wrapText="1"/>
    </xf>
    <xf numFmtId="0" fontId="7" fillId="10" borderId="2" xfId="3" applyFont="1" applyFill="1" applyBorder="1" applyAlignment="1">
      <alignment vertical="center" wrapText="1"/>
    </xf>
    <xf numFmtId="0" fontId="6" fillId="10" borderId="2" xfId="2" applyFont="1" applyFill="1" applyBorder="1" applyAlignment="1">
      <alignment vertical="center" wrapText="1"/>
    </xf>
    <xf numFmtId="0" fontId="8" fillId="10" borderId="2" xfId="2" applyFont="1" applyFill="1" applyBorder="1" applyAlignment="1">
      <alignment horizontal="center" vertical="center" wrapText="1"/>
    </xf>
    <xf numFmtId="3" fontId="8" fillId="10" borderId="2" xfId="2" applyNumberFormat="1" applyFont="1" applyFill="1" applyBorder="1" applyAlignment="1">
      <alignment horizontal="center" vertical="center" wrapText="1"/>
    </xf>
    <xf numFmtId="4" fontId="8" fillId="10" borderId="2" xfId="2" applyNumberFormat="1" applyFont="1" applyFill="1" applyBorder="1" applyAlignment="1">
      <alignment horizontal="right" vertical="center" wrapText="1"/>
    </xf>
    <xf numFmtId="4" fontId="8" fillId="10" borderId="2" xfId="2" applyNumberFormat="1" applyFont="1" applyFill="1" applyBorder="1" applyAlignment="1">
      <alignment horizontal="center" vertical="center" wrapText="1"/>
    </xf>
    <xf numFmtId="164" fontId="8" fillId="10" borderId="2" xfId="2" applyNumberFormat="1" applyFont="1" applyFill="1" applyBorder="1" applyAlignment="1">
      <alignment horizontal="right" vertical="center" wrapText="1"/>
    </xf>
    <xf numFmtId="3" fontId="8" fillId="10" borderId="2" xfId="2" applyNumberFormat="1" applyFont="1" applyFill="1" applyBorder="1" applyAlignment="1">
      <alignment horizontal="right" vertical="center" wrapText="1"/>
    </xf>
    <xf numFmtId="3" fontId="8" fillId="10" borderId="4" xfId="2" applyNumberFormat="1" applyFont="1" applyFill="1" applyBorder="1" applyAlignment="1">
      <alignment horizontal="right" vertical="center" wrapText="1"/>
    </xf>
    <xf numFmtId="0" fontId="6" fillId="10" borderId="4" xfId="2" applyFont="1" applyFill="1" applyBorder="1" applyAlignment="1">
      <alignment vertical="center" wrapText="1"/>
    </xf>
    <xf numFmtId="0" fontId="6" fillId="10" borderId="5" xfId="2" applyFont="1" applyFill="1" applyBorder="1" applyAlignment="1">
      <alignment vertical="center" wrapText="1"/>
    </xf>
    <xf numFmtId="0" fontId="8" fillId="10" borderId="4" xfId="2" applyFont="1" applyFill="1" applyBorder="1" applyAlignment="1">
      <alignment vertical="center" wrapText="1"/>
    </xf>
    <xf numFmtId="0" fontId="8" fillId="10" borderId="5" xfId="2" applyFont="1" applyFill="1" applyBorder="1" applyAlignment="1">
      <alignment vertical="center" wrapText="1"/>
    </xf>
    <xf numFmtId="4" fontId="6" fillId="10" borderId="5" xfId="1" applyNumberFormat="1" applyFont="1" applyFill="1" applyBorder="1" applyAlignment="1">
      <alignment vertical="center" wrapText="1"/>
    </xf>
    <xf numFmtId="0" fontId="1" fillId="0" borderId="0" xfId="0" applyFont="1"/>
    <xf numFmtId="4" fontId="36" fillId="0" borderId="0" xfId="0" applyNumberFormat="1" applyFont="1"/>
    <xf numFmtId="0" fontId="37" fillId="0" borderId="0" xfId="0" applyFont="1" applyAlignment="1">
      <alignment vertical="top"/>
    </xf>
    <xf numFmtId="0" fontId="38" fillId="0" borderId="2" xfId="2" applyFont="1" applyBorder="1" applyAlignment="1">
      <alignment vertical="center" wrapText="1"/>
    </xf>
    <xf numFmtId="0" fontId="38" fillId="0" borderId="2" xfId="2" applyFont="1" applyBorder="1" applyAlignment="1">
      <alignment horizontal="center" vertical="center" wrapText="1"/>
    </xf>
    <xf numFmtId="3" fontId="38" fillId="0" borderId="2" xfId="2" applyNumberFormat="1" applyFont="1" applyBorder="1" applyAlignment="1">
      <alignment horizontal="center" vertical="center" wrapText="1"/>
    </xf>
    <xf numFmtId="4" fontId="38" fillId="0" borderId="2" xfId="2" applyNumberFormat="1" applyFont="1" applyBorder="1" applyAlignment="1">
      <alignment horizontal="right" vertical="center" wrapText="1"/>
    </xf>
    <xf numFmtId="3" fontId="38" fillId="0" borderId="2" xfId="2" applyNumberFormat="1" applyFont="1" applyBorder="1" applyAlignment="1">
      <alignment horizontal="right" vertical="center" wrapText="1"/>
    </xf>
    <xf numFmtId="4" fontId="38" fillId="0" borderId="2" xfId="2" applyNumberFormat="1" applyFont="1" applyBorder="1" applyAlignment="1">
      <alignment horizontal="center" vertical="center" wrapText="1"/>
    </xf>
    <xf numFmtId="3" fontId="38" fillId="0" borderId="4" xfId="2" applyNumberFormat="1" applyFont="1" applyBorder="1" applyAlignment="1">
      <alignment horizontal="right" vertical="center" wrapText="1"/>
    </xf>
    <xf numFmtId="0" fontId="39" fillId="0" borderId="0" xfId="0" applyFont="1" applyAlignment="1">
      <alignment vertical="center"/>
    </xf>
    <xf numFmtId="4" fontId="39" fillId="0" borderId="0" xfId="0" applyNumberFormat="1" applyFont="1" applyAlignment="1">
      <alignment vertical="center"/>
    </xf>
    <xf numFmtId="0" fontId="0" fillId="0" borderId="57" xfId="0" applyBorder="1"/>
    <xf numFmtId="4" fontId="10" fillId="0" borderId="0" xfId="3" applyNumberFormat="1" applyFont="1" applyAlignment="1">
      <alignment vertical="center" wrapText="1"/>
    </xf>
    <xf numFmtId="4" fontId="40" fillId="12" borderId="0" xfId="0" applyNumberFormat="1" applyFont="1" applyFill="1"/>
    <xf numFmtId="4" fontId="12" fillId="0" borderId="0" xfId="3" applyNumberFormat="1" applyFont="1" applyAlignment="1">
      <alignment horizontal="center" vertical="center" wrapText="1"/>
    </xf>
    <xf numFmtId="4" fontId="8" fillId="0" borderId="0" xfId="3" applyNumberFormat="1" applyFont="1" applyAlignment="1">
      <alignment horizontal="center" vertical="center" wrapText="1"/>
    </xf>
    <xf numFmtId="0" fontId="41" fillId="0" borderId="0" xfId="0" applyFont="1" applyAlignment="1">
      <alignment vertical="center"/>
    </xf>
    <xf numFmtId="4" fontId="41" fillId="0" borderId="0" xfId="0" applyNumberFormat="1" applyFont="1" applyAlignment="1">
      <alignment vertical="center"/>
    </xf>
    <xf numFmtId="0" fontId="10" fillId="0" borderId="2" xfId="3" applyFont="1" applyBorder="1" applyAlignment="1">
      <alignment vertical="center" wrapText="1"/>
    </xf>
    <xf numFmtId="0" fontId="10" fillId="3" borderId="2" xfId="3" applyFont="1" applyFill="1" applyBorder="1" applyAlignment="1">
      <alignment horizontal="center" vertical="top" wrapText="1"/>
    </xf>
    <xf numFmtId="0" fontId="1" fillId="8" borderId="56" xfId="0" applyFont="1" applyFill="1" applyBorder="1" applyAlignment="1">
      <alignment horizontal="center" vertical="center" wrapText="1"/>
    </xf>
    <xf numFmtId="0" fontId="34" fillId="0" borderId="0" xfId="3" applyFont="1" applyAlignment="1">
      <alignment horizontal="center" vertical="center" wrapText="1"/>
    </xf>
    <xf numFmtId="4" fontId="34" fillId="0" borderId="0" xfId="3" applyNumberFormat="1" applyFont="1" applyAlignment="1">
      <alignment vertical="center" wrapText="1"/>
    </xf>
    <xf numFmtId="4" fontId="42" fillId="0" borderId="0" xfId="3" applyNumberFormat="1" applyFont="1" applyAlignment="1">
      <alignment horizontal="center" vertical="center" wrapText="1"/>
    </xf>
    <xf numFmtId="0" fontId="34" fillId="0" borderId="0" xfId="3" applyFont="1" applyAlignment="1">
      <alignment vertical="center" wrapText="1"/>
    </xf>
    <xf numFmtId="4" fontId="43" fillId="0" borderId="0" xfId="3" applyNumberFormat="1" applyFont="1" applyAlignment="1">
      <alignment horizontal="center" vertical="center" wrapText="1"/>
    </xf>
    <xf numFmtId="0" fontId="1" fillId="14" borderId="44" xfId="0" applyFont="1" applyFill="1" applyBorder="1" applyAlignment="1">
      <alignment horizontal="center" vertical="center" wrapText="1"/>
    </xf>
    <xf numFmtId="0" fontId="1" fillId="14" borderId="45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1" fontId="0" fillId="0" borderId="2" xfId="0" applyNumberFormat="1" applyBorder="1" applyAlignment="1">
      <alignment horizontal="center"/>
    </xf>
    <xf numFmtId="3" fontId="0" fillId="0" borderId="2" xfId="0" applyNumberFormat="1" applyBorder="1" applyAlignment="1">
      <alignment horizontal="center"/>
    </xf>
    <xf numFmtId="0" fontId="8" fillId="0" borderId="6" xfId="2" applyFont="1" applyBorder="1" applyAlignment="1">
      <alignment horizontal="center" vertical="center" wrapText="1"/>
    </xf>
    <xf numFmtId="0" fontId="8" fillId="2" borderId="6" xfId="2" applyFont="1" applyFill="1" applyBorder="1" applyAlignment="1">
      <alignment horizontal="center" vertical="center" wrapText="1"/>
    </xf>
    <xf numFmtId="0" fontId="33" fillId="2" borderId="0" xfId="1" applyFont="1" applyFill="1" applyAlignment="1">
      <alignment horizontal="center" vertical="center" wrapText="1"/>
    </xf>
    <xf numFmtId="0" fontId="6" fillId="15" borderId="8" xfId="1" applyFont="1" applyFill="1" applyBorder="1" applyAlignment="1">
      <alignment vertical="center" wrapText="1"/>
    </xf>
    <xf numFmtId="4" fontId="6" fillId="15" borderId="2" xfId="1" applyNumberFormat="1" applyFont="1" applyFill="1" applyBorder="1" applyAlignment="1">
      <alignment vertical="center" wrapText="1"/>
    </xf>
    <xf numFmtId="4" fontId="6" fillId="2" borderId="1" xfId="1" applyNumberFormat="1" applyFont="1" applyFill="1" applyBorder="1" applyAlignment="1">
      <alignment vertical="center" wrapText="1"/>
    </xf>
    <xf numFmtId="0" fontId="8" fillId="0" borderId="54" xfId="2" applyFont="1" applyBorder="1" applyAlignment="1">
      <alignment horizontal="center" vertical="center" wrapText="1"/>
    </xf>
    <xf numFmtId="0" fontId="6" fillId="15" borderId="64" xfId="1" applyFont="1" applyFill="1" applyBorder="1" applyAlignment="1">
      <alignment vertical="center" wrapText="1"/>
    </xf>
    <xf numFmtId="0" fontId="6" fillId="15" borderId="65" xfId="1" applyFont="1" applyFill="1" applyBorder="1" applyAlignment="1">
      <alignment horizontal="center" vertical="center" wrapText="1"/>
    </xf>
    <xf numFmtId="1" fontId="0" fillId="0" borderId="3" xfId="0" applyNumberFormat="1" applyBorder="1" applyAlignment="1">
      <alignment horizontal="center"/>
    </xf>
    <xf numFmtId="4" fontId="0" fillId="15" borderId="8" xfId="0" applyNumberFormat="1" applyFill="1" applyBorder="1" applyAlignment="1">
      <alignment horizontal="center"/>
    </xf>
    <xf numFmtId="4" fontId="0" fillId="14" borderId="1" xfId="0" applyNumberFormat="1" applyFill="1" applyBorder="1"/>
    <xf numFmtId="0" fontId="0" fillId="0" borderId="3" xfId="0" applyBorder="1" applyAlignment="1">
      <alignment horizontal="center"/>
    </xf>
    <xf numFmtId="0" fontId="0" fillId="0" borderId="3" xfId="0" applyBorder="1" applyAlignment="1">
      <alignment horizontal="left"/>
    </xf>
    <xf numFmtId="0" fontId="0" fillId="14" borderId="50" xfId="0" applyFill="1" applyBorder="1"/>
    <xf numFmtId="0" fontId="0" fillId="14" borderId="49" xfId="0" applyFill="1" applyBorder="1"/>
    <xf numFmtId="0" fontId="1" fillId="14" borderId="56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left"/>
    </xf>
    <xf numFmtId="1" fontId="0" fillId="0" borderId="7" xfId="0" applyNumberFormat="1" applyBorder="1" applyAlignment="1">
      <alignment horizontal="center"/>
    </xf>
    <xf numFmtId="3" fontId="0" fillId="0" borderId="7" xfId="0" applyNumberFormat="1" applyBorder="1" applyAlignment="1">
      <alignment horizontal="center"/>
    </xf>
    <xf numFmtId="0" fontId="1" fillId="14" borderId="61" xfId="0" applyFont="1" applyFill="1" applyBorder="1" applyAlignment="1">
      <alignment horizontal="center" vertical="center" wrapText="1"/>
    </xf>
    <xf numFmtId="0" fontId="1" fillId="14" borderId="46" xfId="0" applyFont="1" applyFill="1" applyBorder="1" applyAlignment="1">
      <alignment horizontal="center" vertical="center" wrapText="1"/>
    </xf>
    <xf numFmtId="3" fontId="1" fillId="14" borderId="8" xfId="0" applyNumberFormat="1" applyFont="1" applyFill="1" applyBorder="1"/>
    <xf numFmtId="4" fontId="8" fillId="0" borderId="70" xfId="2" applyNumberFormat="1" applyFont="1" applyBorder="1" applyAlignment="1">
      <alignment horizontal="center" vertical="center" wrapText="1"/>
    </xf>
    <xf numFmtId="4" fontId="8" fillId="2" borderId="70" xfId="2" applyNumberFormat="1" applyFont="1" applyFill="1" applyBorder="1" applyAlignment="1">
      <alignment horizontal="center" vertical="center" wrapText="1"/>
    </xf>
    <xf numFmtId="0" fontId="45" fillId="0" borderId="0" xfId="0" applyFont="1"/>
    <xf numFmtId="4" fontId="0" fillId="0" borderId="1" xfId="0" applyNumberFormat="1" applyBorder="1"/>
    <xf numFmtId="0" fontId="0" fillId="0" borderId="1" xfId="0" applyBorder="1"/>
    <xf numFmtId="3" fontId="1" fillId="14" borderId="73" xfId="0" applyNumberFormat="1" applyFont="1" applyFill="1" applyBorder="1"/>
    <xf numFmtId="0" fontId="0" fillId="0" borderId="51" xfId="0" applyBorder="1" applyAlignment="1">
      <alignment horizontal="center"/>
    </xf>
    <xf numFmtId="0" fontId="8" fillId="0" borderId="59" xfId="2" applyFont="1" applyBorder="1" applyAlignment="1">
      <alignment horizontal="center" vertical="center" wrapText="1"/>
    </xf>
    <xf numFmtId="0" fontId="8" fillId="0" borderId="7" xfId="2" applyFont="1" applyBorder="1" applyAlignment="1">
      <alignment horizontal="center" vertical="center" wrapText="1"/>
    </xf>
    <xf numFmtId="3" fontId="8" fillId="0" borderId="7" xfId="2" applyNumberFormat="1" applyFont="1" applyBorder="1" applyAlignment="1">
      <alignment horizontal="center" vertical="center" wrapText="1"/>
    </xf>
    <xf numFmtId="4" fontId="8" fillId="0" borderId="48" xfId="2" applyNumberFormat="1" applyFont="1" applyBorder="1" applyAlignment="1">
      <alignment horizontal="center" vertical="center" wrapText="1"/>
    </xf>
    <xf numFmtId="3" fontId="8" fillId="0" borderId="54" xfId="2" applyNumberFormat="1" applyFont="1" applyBorder="1" applyAlignment="1">
      <alignment horizontal="center" vertical="center" wrapText="1"/>
    </xf>
    <xf numFmtId="0" fontId="8" fillId="17" borderId="6" xfId="2" applyFont="1" applyFill="1" applyBorder="1" applyAlignment="1">
      <alignment horizontal="center" vertical="center" wrapText="1"/>
    </xf>
    <xf numFmtId="0" fontId="8" fillId="17" borderId="2" xfId="2" applyFont="1" applyFill="1" applyBorder="1" applyAlignment="1">
      <alignment horizontal="center" vertical="center" wrapText="1"/>
    </xf>
    <xf numFmtId="3" fontId="8" fillId="17" borderId="2" xfId="2" applyNumberFormat="1" applyFont="1" applyFill="1" applyBorder="1" applyAlignment="1">
      <alignment horizontal="center" vertical="center" wrapText="1"/>
    </xf>
    <xf numFmtId="4" fontId="8" fillId="17" borderId="70" xfId="2" applyNumberFormat="1" applyFont="1" applyFill="1" applyBorder="1" applyAlignment="1">
      <alignment horizontal="center" vertical="center" wrapText="1"/>
    </xf>
    <xf numFmtId="4" fontId="8" fillId="17" borderId="2" xfId="2" applyNumberFormat="1" applyFont="1" applyFill="1" applyBorder="1" applyAlignment="1">
      <alignment horizontal="center" vertical="center" wrapText="1"/>
    </xf>
    <xf numFmtId="0" fontId="8" fillId="17" borderId="2" xfId="2" applyFont="1" applyFill="1" applyBorder="1" applyAlignment="1">
      <alignment vertical="center" wrapText="1"/>
    </xf>
    <xf numFmtId="0" fontId="8" fillId="2" borderId="2" xfId="2" applyFont="1" applyFill="1" applyBorder="1" applyAlignment="1">
      <alignment vertical="center" wrapText="1"/>
    </xf>
    <xf numFmtId="4" fontId="49" fillId="2" borderId="0" xfId="0" applyNumberFormat="1" applyFont="1" applyFill="1" applyAlignment="1">
      <alignment vertical="center"/>
    </xf>
    <xf numFmtId="4" fontId="49" fillId="15" borderId="0" xfId="0" applyNumberFormat="1" applyFont="1" applyFill="1" applyAlignment="1">
      <alignment vertical="center"/>
    </xf>
    <xf numFmtId="3" fontId="0" fillId="0" borderId="0" xfId="0" applyNumberFormat="1"/>
    <xf numFmtId="0" fontId="6" fillId="15" borderId="0" xfId="1" applyFont="1" applyFill="1" applyAlignment="1">
      <alignment vertical="center" wrapText="1"/>
    </xf>
    <xf numFmtId="0" fontId="8" fillId="0" borderId="68" xfId="2" applyFont="1" applyBorder="1" applyAlignment="1">
      <alignment vertical="center" wrapText="1"/>
    </xf>
    <xf numFmtId="0" fontId="8" fillId="17" borderId="68" xfId="2" applyFont="1" applyFill="1" applyBorder="1" applyAlignment="1">
      <alignment vertical="center" wrapText="1"/>
    </xf>
    <xf numFmtId="0" fontId="8" fillId="2" borderId="68" xfId="2" applyFont="1" applyFill="1" applyBorder="1" applyAlignment="1">
      <alignment vertical="center" wrapText="1"/>
    </xf>
    <xf numFmtId="0" fontId="8" fillId="0" borderId="7" xfId="2" applyFont="1" applyBorder="1" applyAlignment="1">
      <alignment vertical="center" wrapText="1"/>
    </xf>
    <xf numFmtId="0" fontId="8" fillId="0" borderId="1" xfId="2" applyFont="1" applyBorder="1" applyAlignment="1">
      <alignment vertical="center" wrapText="1"/>
    </xf>
    <xf numFmtId="0" fontId="48" fillId="18" borderId="0" xfId="0" applyFont="1" applyFill="1" applyAlignment="1">
      <alignment horizontal="center" vertical="center" wrapText="1"/>
    </xf>
    <xf numFmtId="4" fontId="41" fillId="13" borderId="0" xfId="0" applyNumberFormat="1" applyFont="1" applyFill="1" applyAlignment="1">
      <alignment horizontal="center" vertical="center"/>
    </xf>
    <xf numFmtId="4" fontId="41" fillId="2" borderId="0" xfId="0" applyNumberFormat="1" applyFont="1" applyFill="1" applyAlignment="1">
      <alignment horizontal="center" vertical="center" wrapText="1"/>
    </xf>
    <xf numFmtId="4" fontId="0" fillId="0" borderId="0" xfId="0" applyNumberFormat="1" applyAlignment="1">
      <alignment horizontal="center" vertical="center"/>
    </xf>
    <xf numFmtId="0" fontId="12" fillId="0" borderId="73" xfId="2" applyFont="1" applyBorder="1" applyAlignment="1">
      <alignment horizontal="center" vertical="center" wrapText="1"/>
    </xf>
    <xf numFmtId="0" fontId="12" fillId="0" borderId="66" xfId="2" applyFont="1" applyBorder="1" applyAlignment="1">
      <alignment vertical="center" wrapText="1"/>
    </xf>
    <xf numFmtId="0" fontId="12" fillId="0" borderId="7" xfId="2" applyFont="1" applyBorder="1" applyAlignment="1">
      <alignment horizontal="center" vertical="center" wrapText="1"/>
    </xf>
    <xf numFmtId="3" fontId="12" fillId="0" borderId="7" xfId="2" applyNumberFormat="1" applyFont="1" applyBorder="1" applyAlignment="1">
      <alignment horizontal="center" vertical="center" wrapText="1"/>
    </xf>
    <xf numFmtId="4" fontId="12" fillId="0" borderId="7" xfId="2" applyNumberFormat="1" applyFont="1" applyBorder="1" applyAlignment="1">
      <alignment horizontal="right" vertical="center" wrapText="1"/>
    </xf>
    <xf numFmtId="0" fontId="12" fillId="0" borderId="67" xfId="2" applyFont="1" applyBorder="1" applyAlignment="1">
      <alignment horizontal="center" vertical="center" wrapText="1"/>
    </xf>
    <xf numFmtId="0" fontId="12" fillId="0" borderId="67" xfId="2" applyFont="1" applyBorder="1" applyAlignment="1">
      <alignment vertical="center" wrapText="1"/>
    </xf>
    <xf numFmtId="0" fontId="12" fillId="0" borderId="2" xfId="2" applyFont="1" applyBorder="1" applyAlignment="1">
      <alignment horizontal="center" vertical="center" wrapText="1"/>
    </xf>
    <xf numFmtId="3" fontId="12" fillId="0" borderId="2" xfId="2" applyNumberFormat="1" applyFont="1" applyBorder="1" applyAlignment="1">
      <alignment horizontal="center" vertical="center" wrapText="1"/>
    </xf>
    <xf numFmtId="4" fontId="12" fillId="0" borderId="2" xfId="2" applyNumberFormat="1" applyFont="1" applyBorder="1" applyAlignment="1">
      <alignment horizontal="right" vertical="center" wrapText="1"/>
    </xf>
    <xf numFmtId="0" fontId="12" fillId="0" borderId="54" xfId="2" applyFont="1" applyBorder="1" applyAlignment="1">
      <alignment horizontal="center" vertical="center" wrapText="1"/>
    </xf>
    <xf numFmtId="3" fontId="12" fillId="0" borderId="54" xfId="2" applyNumberFormat="1" applyFont="1" applyBorder="1" applyAlignment="1">
      <alignment horizontal="center" vertical="center" wrapText="1"/>
    </xf>
    <xf numFmtId="0" fontId="44" fillId="16" borderId="58" xfId="1" applyFont="1" applyFill="1" applyBorder="1" applyAlignment="1">
      <alignment horizontal="center" vertical="center" wrapText="1"/>
    </xf>
    <xf numFmtId="0" fontId="44" fillId="16" borderId="54" xfId="1" applyFont="1" applyFill="1" applyBorder="1" applyAlignment="1">
      <alignment horizontal="center" vertical="center" wrapText="1"/>
    </xf>
    <xf numFmtId="4" fontId="0" fillId="5" borderId="0" xfId="0" applyNumberFormat="1" applyFill="1" applyAlignment="1">
      <alignment horizontal="center" vertical="center"/>
    </xf>
    <xf numFmtId="0" fontId="12" fillId="17" borderId="67" xfId="2" applyFont="1" applyFill="1" applyBorder="1" applyAlignment="1">
      <alignment horizontal="center" vertical="center" wrapText="1"/>
    </xf>
    <xf numFmtId="0" fontId="12" fillId="17" borderId="67" xfId="2" applyFont="1" applyFill="1" applyBorder="1" applyAlignment="1">
      <alignment vertical="center" wrapText="1"/>
    </xf>
    <xf numFmtId="0" fontId="12" fillId="17" borderId="2" xfId="2" applyFont="1" applyFill="1" applyBorder="1" applyAlignment="1">
      <alignment horizontal="center" vertical="center" wrapText="1"/>
    </xf>
    <xf numFmtId="3" fontId="12" fillId="17" borderId="2" xfId="2" applyNumberFormat="1" applyFont="1" applyFill="1" applyBorder="1" applyAlignment="1">
      <alignment horizontal="center" vertical="center" wrapText="1"/>
    </xf>
    <xf numFmtId="4" fontId="12" fillId="17" borderId="2" xfId="2" applyNumberFormat="1" applyFont="1" applyFill="1" applyBorder="1" applyAlignment="1">
      <alignment horizontal="right" vertical="center" wrapText="1"/>
    </xf>
    <xf numFmtId="0" fontId="0" fillId="17" borderId="0" xfId="0" applyFill="1"/>
    <xf numFmtId="4" fontId="12" fillId="17" borderId="7" xfId="2" applyNumberFormat="1" applyFont="1" applyFill="1" applyBorder="1" applyAlignment="1">
      <alignment horizontal="right" vertical="center" wrapText="1"/>
    </xf>
    <xf numFmtId="0" fontId="50" fillId="13" borderId="0" xfId="0" applyFont="1" applyFill="1" applyAlignment="1">
      <alignment horizontal="center" vertical="center" wrapText="1"/>
    </xf>
    <xf numFmtId="4" fontId="12" fillId="0" borderId="59" xfId="2" applyNumberFormat="1" applyFont="1" applyBorder="1" applyAlignment="1">
      <alignment horizontal="right" vertical="center" wrapText="1"/>
    </xf>
    <xf numFmtId="4" fontId="12" fillId="0" borderId="57" xfId="2" applyNumberFormat="1" applyFont="1" applyBorder="1" applyAlignment="1">
      <alignment horizontal="right" vertical="center" wrapText="1"/>
    </xf>
    <xf numFmtId="4" fontId="12" fillId="0" borderId="4" xfId="2" applyNumberFormat="1" applyFont="1" applyBorder="1" applyAlignment="1">
      <alignment horizontal="right" vertical="center" wrapText="1"/>
    </xf>
    <xf numFmtId="4" fontId="12" fillId="17" borderId="59" xfId="2" applyNumberFormat="1" applyFont="1" applyFill="1" applyBorder="1" applyAlignment="1">
      <alignment horizontal="right" vertical="center" wrapText="1"/>
    </xf>
    <xf numFmtId="4" fontId="12" fillId="17" borderId="4" xfId="2" applyNumberFormat="1" applyFont="1" applyFill="1" applyBorder="1" applyAlignment="1">
      <alignment horizontal="right" vertical="center" wrapText="1"/>
    </xf>
    <xf numFmtId="4" fontId="12" fillId="0" borderId="3" xfId="2" applyNumberFormat="1" applyFont="1" applyBorder="1" applyAlignment="1">
      <alignment horizontal="right" vertical="center" wrapText="1"/>
    </xf>
    <xf numFmtId="4" fontId="12" fillId="0" borderId="48" xfId="2" applyNumberFormat="1" applyFont="1" applyBorder="1" applyAlignment="1">
      <alignment horizontal="right" vertical="center" wrapText="1"/>
    </xf>
    <xf numFmtId="4" fontId="12" fillId="0" borderId="70" xfId="2" applyNumberFormat="1" applyFont="1" applyBorder="1" applyAlignment="1">
      <alignment horizontal="right" vertical="center" wrapText="1"/>
    </xf>
    <xf numFmtId="4" fontId="12" fillId="17" borderId="70" xfId="2" applyNumberFormat="1" applyFont="1" applyFill="1" applyBorder="1" applyAlignment="1">
      <alignment horizontal="right" vertical="center" wrapText="1"/>
    </xf>
    <xf numFmtId="4" fontId="5" fillId="15" borderId="8" xfId="1" applyNumberFormat="1" applyFont="1" applyFill="1" applyBorder="1" applyAlignment="1">
      <alignment horizontal="right" vertical="center" wrapText="1"/>
    </xf>
    <xf numFmtId="0" fontId="5" fillId="15" borderId="62" xfId="1" applyFont="1" applyFill="1" applyBorder="1" applyAlignment="1">
      <alignment horizontal="right" vertical="center" wrapText="1"/>
    </xf>
    <xf numFmtId="0" fontId="5" fillId="15" borderId="63" xfId="1" applyFont="1" applyFill="1" applyBorder="1" applyAlignment="1">
      <alignment horizontal="right" vertical="center" wrapText="1"/>
    </xf>
    <xf numFmtId="4" fontId="5" fillId="15" borderId="58" xfId="1" applyNumberFormat="1" applyFont="1" applyFill="1" applyBorder="1" applyAlignment="1">
      <alignment horizontal="right" vertical="center" wrapText="1"/>
    </xf>
    <xf numFmtId="4" fontId="6" fillId="15" borderId="58" xfId="1" applyNumberFormat="1" applyFont="1" applyFill="1" applyBorder="1" applyAlignment="1">
      <alignment horizontal="right" vertical="center" wrapText="1"/>
    </xf>
    <xf numFmtId="4" fontId="5" fillId="15" borderId="55" xfId="1" applyNumberFormat="1" applyFont="1" applyFill="1" applyBorder="1" applyAlignment="1">
      <alignment horizontal="right" vertical="center" wrapText="1"/>
    </xf>
    <xf numFmtId="4" fontId="8" fillId="0" borderId="48" xfId="2" applyNumberFormat="1" applyFont="1" applyBorder="1" applyAlignment="1">
      <alignment horizontal="right" vertical="center" wrapText="1"/>
    </xf>
    <xf numFmtId="4" fontId="8" fillId="0" borderId="70" xfId="2" applyNumberFormat="1" applyFont="1" applyBorder="1" applyAlignment="1">
      <alignment horizontal="right" vertical="center" wrapText="1"/>
    </xf>
    <xf numFmtId="4" fontId="8" fillId="17" borderId="70" xfId="2" applyNumberFormat="1" applyFont="1" applyFill="1" applyBorder="1" applyAlignment="1">
      <alignment horizontal="right" vertical="center" wrapText="1"/>
    </xf>
    <xf numFmtId="4" fontId="12" fillId="17" borderId="57" xfId="2" applyNumberFormat="1" applyFont="1" applyFill="1" applyBorder="1" applyAlignment="1">
      <alignment horizontal="right" vertical="center" wrapText="1"/>
    </xf>
    <xf numFmtId="4" fontId="12" fillId="17" borderId="48" xfId="2" applyNumberFormat="1" applyFont="1" applyFill="1" applyBorder="1" applyAlignment="1">
      <alignment horizontal="right" vertical="center" wrapText="1"/>
    </xf>
    <xf numFmtId="0" fontId="56" fillId="0" borderId="2" xfId="0" applyFont="1" applyBorder="1" applyAlignment="1">
      <alignment horizontal="center" vertical="center" wrapText="1"/>
    </xf>
    <xf numFmtId="0" fontId="36" fillId="0" borderId="0" xfId="0" applyFont="1" applyAlignment="1">
      <alignment vertical="center"/>
    </xf>
    <xf numFmtId="0" fontId="36" fillId="0" borderId="0" xfId="0" applyFont="1"/>
    <xf numFmtId="0" fontId="55" fillId="0" borderId="0" xfId="0" applyFont="1"/>
    <xf numFmtId="4" fontId="55" fillId="0" borderId="0" xfId="0" applyNumberFormat="1" applyFont="1"/>
    <xf numFmtId="4" fontId="55" fillId="0" borderId="2" xfId="0" applyNumberFormat="1" applyFont="1" applyBorder="1" applyAlignment="1">
      <alignment horizontal="right"/>
    </xf>
    <xf numFmtId="0" fontId="55" fillId="0" borderId="2" xfId="0" applyFont="1" applyBorder="1" applyAlignment="1">
      <alignment horizontal="center"/>
    </xf>
    <xf numFmtId="0" fontId="55" fillId="0" borderId="2" xfId="0" applyFont="1" applyBorder="1" applyAlignment="1">
      <alignment horizontal="left"/>
    </xf>
    <xf numFmtId="1" fontId="55" fillId="0" borderId="2" xfId="0" applyNumberFormat="1" applyFont="1" applyBorder="1" applyAlignment="1">
      <alignment horizontal="center"/>
    </xf>
    <xf numFmtId="3" fontId="36" fillId="0" borderId="0" xfId="0" applyNumberFormat="1" applyFont="1"/>
    <xf numFmtId="0" fontId="55" fillId="0" borderId="0" xfId="0" applyFont="1" applyAlignment="1">
      <alignment horizontal="center"/>
    </xf>
    <xf numFmtId="0" fontId="54" fillId="19" borderId="2" xfId="0" applyFont="1" applyFill="1" applyBorder="1" applyAlignment="1">
      <alignment horizontal="center" vertical="center" wrapText="1"/>
    </xf>
    <xf numFmtId="0" fontId="55" fillId="10" borderId="2" xfId="0" applyFont="1" applyFill="1" applyBorder="1"/>
    <xf numFmtId="3" fontId="55" fillId="10" borderId="2" xfId="0" applyNumberFormat="1" applyFont="1" applyFill="1" applyBorder="1" applyAlignment="1">
      <alignment horizontal="center"/>
    </xf>
    <xf numFmtId="4" fontId="55" fillId="10" borderId="2" xfId="0" applyNumberFormat="1" applyFont="1" applyFill="1" applyBorder="1" applyAlignment="1">
      <alignment horizontal="right"/>
    </xf>
    <xf numFmtId="0" fontId="55" fillId="19" borderId="2" xfId="0" applyFont="1" applyFill="1" applyBorder="1"/>
    <xf numFmtId="4" fontId="54" fillId="19" borderId="2" xfId="0" applyNumberFormat="1" applyFont="1" applyFill="1" applyBorder="1" applyAlignment="1">
      <alignment horizontal="right"/>
    </xf>
    <xf numFmtId="0" fontId="57" fillId="20" borderId="2" xfId="0" applyFont="1" applyFill="1" applyBorder="1"/>
    <xf numFmtId="4" fontId="58" fillId="20" borderId="2" xfId="0" applyNumberFormat="1" applyFont="1" applyFill="1" applyBorder="1" applyAlignment="1">
      <alignment horizontal="right"/>
    </xf>
    <xf numFmtId="0" fontId="60" fillId="0" borderId="0" xfId="0" applyFont="1"/>
    <xf numFmtId="0" fontId="60" fillId="0" borderId="0" xfId="0" applyFont="1" applyAlignment="1">
      <alignment vertical="center"/>
    </xf>
    <xf numFmtId="0" fontId="61" fillId="0" borderId="0" xfId="0" applyFont="1" applyAlignment="1">
      <alignment vertical="center" wrapText="1"/>
    </xf>
    <xf numFmtId="0" fontId="60" fillId="22" borderId="47" xfId="0" applyFont="1" applyFill="1" applyBorder="1" applyAlignment="1">
      <alignment horizontal="center" vertical="center" wrapText="1"/>
    </xf>
    <xf numFmtId="0" fontId="60" fillId="22" borderId="7" xfId="0" applyFont="1" applyFill="1" applyBorder="1" applyAlignment="1">
      <alignment horizontal="center" vertical="center" wrapText="1"/>
    </xf>
    <xf numFmtId="4" fontId="60" fillId="0" borderId="7" xfId="0" applyNumberFormat="1" applyFont="1" applyBorder="1" applyAlignment="1">
      <alignment horizontal="right" vertical="center"/>
    </xf>
    <xf numFmtId="0" fontId="60" fillId="22" borderId="48" xfId="0" applyFont="1" applyFill="1" applyBorder="1" applyAlignment="1">
      <alignment horizontal="center" vertical="center" wrapText="1"/>
    </xf>
    <xf numFmtId="0" fontId="60" fillId="0" borderId="49" xfId="0" applyFont="1" applyBorder="1" applyAlignment="1">
      <alignment horizontal="center" vertical="center" wrapText="1"/>
    </xf>
    <xf numFmtId="0" fontId="60" fillId="0" borderId="2" xfId="0" applyFont="1" applyBorder="1" applyAlignment="1">
      <alignment horizontal="center" vertical="center"/>
    </xf>
    <xf numFmtId="0" fontId="60" fillId="0" borderId="2" xfId="0" applyFont="1" applyBorder="1" applyAlignment="1">
      <alignment horizontal="center" vertical="center" wrapText="1"/>
    </xf>
    <xf numFmtId="4" fontId="60" fillId="0" borderId="2" xfId="0" applyNumberFormat="1" applyFont="1" applyBorder="1" applyAlignment="1">
      <alignment horizontal="right" vertical="center"/>
    </xf>
    <xf numFmtId="0" fontId="60" fillId="0" borderId="2" xfId="2" applyFont="1" applyBorder="1" applyAlignment="1">
      <alignment horizontal="justify" vertical="center" wrapText="1"/>
    </xf>
    <xf numFmtId="0" fontId="60" fillId="0" borderId="70" xfId="0" applyFont="1" applyBorder="1" applyAlignment="1">
      <alignment horizontal="center" vertical="center" wrapText="1"/>
    </xf>
    <xf numFmtId="0" fontId="60" fillId="22" borderId="2" xfId="0" applyFont="1" applyFill="1" applyBorder="1" applyAlignment="1">
      <alignment horizontal="center" vertical="center" wrapText="1"/>
    </xf>
    <xf numFmtId="0" fontId="60" fillId="0" borderId="49" xfId="0" applyFont="1" applyBorder="1" applyAlignment="1">
      <alignment horizontal="center" vertical="center"/>
    </xf>
    <xf numFmtId="0" fontId="56" fillId="22" borderId="2" xfId="0" applyFont="1" applyFill="1" applyBorder="1" applyAlignment="1">
      <alignment horizontal="center" vertical="center" wrapText="1"/>
    </xf>
    <xf numFmtId="0" fontId="60" fillId="0" borderId="53" xfId="0" applyFont="1" applyBorder="1" applyAlignment="1">
      <alignment horizontal="center" vertical="center" wrapText="1"/>
    </xf>
    <xf numFmtId="0" fontId="60" fillId="0" borderId="54" xfId="0" applyFont="1" applyBorder="1" applyAlignment="1">
      <alignment horizontal="center" vertical="center"/>
    </xf>
    <xf numFmtId="0" fontId="60" fillId="0" borderId="54" xfId="0" applyFont="1" applyBorder="1" applyAlignment="1">
      <alignment horizontal="center" vertical="center" wrapText="1"/>
    </xf>
    <xf numFmtId="4" fontId="60" fillId="0" borderId="54" xfId="0" applyNumberFormat="1" applyFont="1" applyBorder="1" applyAlignment="1">
      <alignment horizontal="right" vertical="center"/>
    </xf>
    <xf numFmtId="0" fontId="60" fillId="0" borderId="54" xfId="2" applyFont="1" applyBorder="1" applyAlignment="1">
      <alignment horizontal="justify" vertical="center" wrapText="1"/>
    </xf>
    <xf numFmtId="0" fontId="62" fillId="0" borderId="55" xfId="0" applyFont="1" applyBorder="1" applyAlignment="1">
      <alignment horizontal="center" vertical="center" wrapText="1"/>
    </xf>
    <xf numFmtId="0" fontId="60" fillId="0" borderId="0" xfId="0" applyFont="1" applyAlignment="1">
      <alignment horizontal="center" vertical="center"/>
    </xf>
    <xf numFmtId="0" fontId="60" fillId="0" borderId="0" xfId="0" applyFont="1" applyAlignment="1">
      <alignment wrapText="1"/>
    </xf>
    <xf numFmtId="0" fontId="60" fillId="0" borderId="0" xfId="0" applyFont="1" applyAlignment="1">
      <alignment horizontal="left" vertical="center"/>
    </xf>
    <xf numFmtId="0" fontId="60" fillId="0" borderId="2" xfId="0" applyFont="1" applyBorder="1" applyAlignment="1">
      <alignment horizontal="center" wrapText="1"/>
    </xf>
    <xf numFmtId="0" fontId="5" fillId="4" borderId="2" xfId="3" applyFont="1" applyFill="1" applyBorder="1" applyAlignment="1">
      <alignment horizontal="center" vertical="center" wrapText="1"/>
    </xf>
    <xf numFmtId="0" fontId="33" fillId="9" borderId="2" xfId="1" applyFont="1" applyFill="1" applyBorder="1" applyAlignment="1">
      <alignment horizontal="center" vertical="center" wrapText="1"/>
    </xf>
    <xf numFmtId="0" fontId="33" fillId="9" borderId="2" xfId="1" applyFont="1" applyFill="1" applyBorder="1" applyAlignment="1">
      <alignment horizontal="center" vertical="center"/>
    </xf>
    <xf numFmtId="0" fontId="35" fillId="9" borderId="2" xfId="3" applyFont="1" applyFill="1" applyBorder="1" applyAlignment="1">
      <alignment horizontal="center" vertical="top" wrapText="1"/>
    </xf>
    <xf numFmtId="0" fontId="35" fillId="11" borderId="2" xfId="3" applyFont="1" applyFill="1" applyBorder="1" applyAlignment="1">
      <alignment horizontal="center" vertical="top" wrapText="1"/>
    </xf>
    <xf numFmtId="0" fontId="10" fillId="0" borderId="0" xfId="3" applyFont="1" applyAlignment="1">
      <alignment horizontal="center" vertical="center" wrapText="1"/>
    </xf>
    <xf numFmtId="0" fontId="3" fillId="2" borderId="0" xfId="1" applyFont="1" applyFill="1" applyAlignment="1">
      <alignment horizontal="center" vertical="center" wrapText="1"/>
    </xf>
    <xf numFmtId="3" fontId="5" fillId="2" borderId="1" xfId="2" applyNumberFormat="1" applyFont="1" applyFill="1" applyBorder="1" applyAlignment="1">
      <alignment horizontal="center" vertical="center" wrapText="1"/>
    </xf>
    <xf numFmtId="0" fontId="33" fillId="9" borderId="3" xfId="1" applyFont="1" applyFill="1" applyBorder="1" applyAlignment="1">
      <alignment horizontal="center" vertical="center" wrapText="1"/>
    </xf>
    <xf numFmtId="0" fontId="33" fillId="9" borderId="7" xfId="1" applyFont="1" applyFill="1" applyBorder="1" applyAlignment="1">
      <alignment horizontal="center" vertical="center" wrapText="1"/>
    </xf>
    <xf numFmtId="0" fontId="33" fillId="9" borderId="4" xfId="1" applyFont="1" applyFill="1" applyBorder="1" applyAlignment="1">
      <alignment horizontal="center" vertical="center" wrapText="1"/>
    </xf>
    <xf numFmtId="0" fontId="33" fillId="9" borderId="5" xfId="1" applyFont="1" applyFill="1" applyBorder="1" applyAlignment="1">
      <alignment horizontal="center" vertical="center" wrapText="1"/>
    </xf>
    <xf numFmtId="0" fontId="33" fillId="9" borderId="6" xfId="1" applyFont="1" applyFill="1" applyBorder="1" applyAlignment="1">
      <alignment horizontal="center" vertical="center" wrapText="1"/>
    </xf>
    <xf numFmtId="0" fontId="1" fillId="14" borderId="4" xfId="0" applyFont="1" applyFill="1" applyBorder="1" applyAlignment="1">
      <alignment horizontal="left"/>
    </xf>
    <xf numFmtId="0" fontId="1" fillId="14" borderId="71" xfId="0" applyFont="1" applyFill="1" applyBorder="1" applyAlignment="1">
      <alignment horizontal="left"/>
    </xf>
    <xf numFmtId="0" fontId="46" fillId="0" borderId="0" xfId="0" applyFont="1" applyAlignment="1">
      <alignment horizontal="center"/>
    </xf>
    <xf numFmtId="0" fontId="47" fillId="0" borderId="0" xfId="0" applyFont="1" applyAlignment="1">
      <alignment horizontal="center"/>
    </xf>
    <xf numFmtId="0" fontId="1" fillId="14" borderId="74" xfId="0" applyFont="1" applyFill="1" applyBorder="1" applyAlignment="1">
      <alignment horizontal="left"/>
    </xf>
    <xf numFmtId="0" fontId="1" fillId="14" borderId="72" xfId="0" applyFont="1" applyFill="1" applyBorder="1" applyAlignment="1">
      <alignment horizontal="left"/>
    </xf>
    <xf numFmtId="0" fontId="0" fillId="0" borderId="3" xfId="0" applyBorder="1" applyAlignment="1">
      <alignment horizontal="center" vertical="center"/>
    </xf>
    <xf numFmtId="0" fontId="0" fillId="0" borderId="75" xfId="0" applyBorder="1" applyAlignment="1">
      <alignment horizontal="center" vertical="center"/>
    </xf>
    <xf numFmtId="0" fontId="0" fillId="0" borderId="76" xfId="0" applyBorder="1" applyAlignment="1">
      <alignment horizontal="center" vertical="center"/>
    </xf>
    <xf numFmtId="0" fontId="6" fillId="15" borderId="69" xfId="1" applyFont="1" applyFill="1" applyBorder="1" applyAlignment="1">
      <alignment horizontal="center" vertical="center" wrapText="1"/>
    </xf>
    <xf numFmtId="0" fontId="6" fillId="15" borderId="78" xfId="1" applyFont="1" applyFill="1" applyBorder="1" applyAlignment="1">
      <alignment horizontal="center" vertical="center" wrapText="1"/>
    </xf>
    <xf numFmtId="0" fontId="6" fillId="15" borderId="51" xfId="1" applyFont="1" applyFill="1" applyBorder="1" applyAlignment="1">
      <alignment horizontal="center" vertical="center" wrapText="1"/>
    </xf>
    <xf numFmtId="0" fontId="6" fillId="15" borderId="54" xfId="1" applyFont="1" applyFill="1" applyBorder="1" applyAlignment="1">
      <alignment horizontal="center" vertical="center" wrapText="1"/>
    </xf>
    <xf numFmtId="0" fontId="6" fillId="15" borderId="60" xfId="1" applyFont="1" applyFill="1" applyBorder="1" applyAlignment="1">
      <alignment horizontal="center" vertical="center" wrapText="1"/>
    </xf>
    <xf numFmtId="0" fontId="6" fillId="15" borderId="76" xfId="1" applyFont="1" applyFill="1" applyBorder="1" applyAlignment="1">
      <alignment horizontal="center" vertical="center" wrapText="1"/>
    </xf>
    <xf numFmtId="0" fontId="6" fillId="15" borderId="51" xfId="1" applyFont="1" applyFill="1" applyBorder="1" applyAlignment="1">
      <alignment horizontal="center" vertical="center"/>
    </xf>
    <xf numFmtId="0" fontId="6" fillId="15" borderId="54" xfId="1" applyFont="1" applyFill="1" applyBorder="1" applyAlignment="1">
      <alignment horizontal="center" vertical="center"/>
    </xf>
    <xf numFmtId="0" fontId="6" fillId="15" borderId="52" xfId="1" applyFont="1" applyFill="1" applyBorder="1" applyAlignment="1">
      <alignment horizontal="center" vertical="center" wrapText="1"/>
    </xf>
    <xf numFmtId="0" fontId="6" fillId="15" borderId="55" xfId="1" applyFont="1" applyFill="1" applyBorder="1" applyAlignment="1">
      <alignment horizontal="center" vertical="center" wrapText="1"/>
    </xf>
    <xf numFmtId="0" fontId="4" fillId="2" borderId="0" xfId="1" applyFont="1" applyFill="1" applyAlignment="1">
      <alignment horizontal="center" vertical="center" wrapText="1"/>
    </xf>
    <xf numFmtId="0" fontId="6" fillId="16" borderId="77" xfId="1" applyFont="1" applyFill="1" applyBorder="1" applyAlignment="1">
      <alignment horizontal="center" vertical="center"/>
    </xf>
    <xf numFmtId="0" fontId="6" fillId="16" borderId="81" xfId="1" applyFont="1" applyFill="1" applyBorder="1" applyAlignment="1">
      <alignment horizontal="center" vertical="center"/>
    </xf>
    <xf numFmtId="0" fontId="6" fillId="16" borderId="0" xfId="1" applyFont="1" applyFill="1" applyAlignment="1">
      <alignment horizontal="center" vertical="center" wrapText="1"/>
    </xf>
    <xf numFmtId="0" fontId="6" fillId="16" borderId="82" xfId="1" applyFont="1" applyFill="1" applyBorder="1" applyAlignment="1">
      <alignment horizontal="center" vertical="center" wrapText="1"/>
    </xf>
    <xf numFmtId="0" fontId="6" fillId="14" borderId="68" xfId="2" applyFont="1" applyFill="1" applyBorder="1" applyAlignment="1">
      <alignment vertical="center" wrapText="1"/>
    </xf>
    <xf numFmtId="0" fontId="6" fillId="14" borderId="5" xfId="2" applyFont="1" applyFill="1" applyBorder="1" applyAlignment="1">
      <alignment vertical="center" wrapText="1"/>
    </xf>
    <xf numFmtId="0" fontId="6" fillId="14" borderId="71" xfId="2" applyFont="1" applyFill="1" applyBorder="1" applyAlignment="1">
      <alignment vertical="center" wrapText="1"/>
    </xf>
    <xf numFmtId="0" fontId="6" fillId="14" borderId="68" xfId="2" applyFont="1" applyFill="1" applyBorder="1" applyAlignment="1">
      <alignment horizontal="left" vertical="center" wrapText="1"/>
    </xf>
    <xf numFmtId="0" fontId="6" fillId="14" borderId="5" xfId="2" applyFont="1" applyFill="1" applyBorder="1" applyAlignment="1">
      <alignment horizontal="left" vertical="center" wrapText="1"/>
    </xf>
    <xf numFmtId="0" fontId="6" fillId="14" borderId="71" xfId="2" applyFont="1" applyFill="1" applyBorder="1" applyAlignment="1">
      <alignment horizontal="left" vertical="center" wrapText="1"/>
    </xf>
    <xf numFmtId="0" fontId="54" fillId="19" borderId="4" xfId="0" applyFont="1" applyFill="1" applyBorder="1" applyAlignment="1">
      <alignment horizontal="left"/>
    </xf>
    <xf numFmtId="0" fontId="54" fillId="19" borderId="5" xfId="0" applyFont="1" applyFill="1" applyBorder="1" applyAlignment="1">
      <alignment horizontal="left"/>
    </xf>
    <xf numFmtId="0" fontId="54" fillId="19" borderId="6" xfId="0" applyFont="1" applyFill="1" applyBorder="1" applyAlignment="1">
      <alignment horizontal="left"/>
    </xf>
    <xf numFmtId="0" fontId="58" fillId="20" borderId="4" xfId="0" applyFont="1" applyFill="1" applyBorder="1" applyAlignment="1">
      <alignment horizontal="left"/>
    </xf>
    <xf numFmtId="0" fontId="58" fillId="20" borderId="5" xfId="0" applyFont="1" applyFill="1" applyBorder="1" applyAlignment="1">
      <alignment horizontal="left"/>
    </xf>
    <xf numFmtId="0" fontId="58" fillId="20" borderId="6" xfId="0" applyFont="1" applyFill="1" applyBorder="1" applyAlignment="1">
      <alignment horizontal="left"/>
    </xf>
    <xf numFmtId="0" fontId="54" fillId="0" borderId="0" xfId="0" applyFont="1" applyAlignment="1">
      <alignment horizontal="center"/>
    </xf>
    <xf numFmtId="0" fontId="55" fillId="0" borderId="0" xfId="0" applyFont="1" applyAlignment="1">
      <alignment horizontal="center"/>
    </xf>
    <xf numFmtId="0" fontId="54" fillId="10" borderId="2" xfId="0" applyFont="1" applyFill="1" applyBorder="1" applyAlignment="1">
      <alignment horizontal="left"/>
    </xf>
    <xf numFmtId="0" fontId="61" fillId="21" borderId="2" xfId="0" applyFont="1" applyFill="1" applyBorder="1" applyAlignment="1">
      <alignment horizontal="center" vertical="center" wrapText="1"/>
    </xf>
    <xf numFmtId="0" fontId="61" fillId="21" borderId="54" xfId="0" applyFont="1" applyFill="1" applyBorder="1" applyAlignment="1">
      <alignment horizontal="center" vertical="center" wrapText="1"/>
    </xf>
    <xf numFmtId="0" fontId="61" fillId="21" borderId="70" xfId="0" applyFont="1" applyFill="1" applyBorder="1" applyAlignment="1">
      <alignment horizontal="center" vertical="center" wrapText="1"/>
    </xf>
    <xf numFmtId="0" fontId="61" fillId="21" borderId="55" xfId="0" applyFont="1" applyFill="1" applyBorder="1" applyAlignment="1">
      <alignment horizontal="center" vertical="center" wrapText="1"/>
    </xf>
    <xf numFmtId="0" fontId="60" fillId="0" borderId="2" xfId="0" applyFont="1" applyBorder="1" applyAlignment="1">
      <alignment horizontal="center" wrapText="1"/>
    </xf>
    <xf numFmtId="0" fontId="59" fillId="0" borderId="0" xfId="0" applyFont="1" applyAlignment="1">
      <alignment horizontal="center" vertical="center"/>
    </xf>
    <xf numFmtId="0" fontId="61" fillId="21" borderId="50" xfId="0" applyFont="1" applyFill="1" applyBorder="1" applyAlignment="1">
      <alignment horizontal="center" vertical="center" wrapText="1"/>
    </xf>
    <xf numFmtId="0" fontId="61" fillId="21" borderId="49" xfId="0" applyFont="1" applyFill="1" applyBorder="1" applyAlignment="1">
      <alignment horizontal="center" vertical="center" wrapText="1"/>
    </xf>
    <xf numFmtId="0" fontId="61" fillId="21" borderId="53" xfId="0" applyFont="1" applyFill="1" applyBorder="1" applyAlignment="1">
      <alignment horizontal="center" vertical="center" wrapText="1"/>
    </xf>
    <xf numFmtId="0" fontId="61" fillId="21" borderId="51" xfId="0" applyFont="1" applyFill="1" applyBorder="1" applyAlignment="1">
      <alignment horizontal="center" vertical="center" wrapText="1"/>
    </xf>
    <xf numFmtId="0" fontId="61" fillId="21" borderId="52" xfId="0" applyFont="1" applyFill="1" applyBorder="1" applyAlignment="1">
      <alignment horizontal="center" vertical="center" wrapText="1"/>
    </xf>
    <xf numFmtId="0" fontId="44" fillId="16" borderId="51" xfId="1" applyFont="1" applyFill="1" applyBorder="1" applyAlignment="1">
      <alignment horizontal="center" vertical="center"/>
    </xf>
    <xf numFmtId="0" fontId="44" fillId="16" borderId="52" xfId="3" applyFont="1" applyFill="1" applyBorder="1" applyAlignment="1">
      <alignment horizontal="center" vertical="center" wrapText="1"/>
    </xf>
    <xf numFmtId="0" fontId="44" fillId="16" borderId="55" xfId="3" applyFont="1" applyFill="1" applyBorder="1" applyAlignment="1">
      <alignment horizontal="center" vertical="center" wrapText="1"/>
    </xf>
    <xf numFmtId="0" fontId="44" fillId="14" borderId="60" xfId="1" applyFont="1" applyFill="1" applyBorder="1" applyAlignment="1">
      <alignment horizontal="center" vertical="center" wrapText="1"/>
    </xf>
    <xf numFmtId="0" fontId="44" fillId="14" borderId="76" xfId="1" applyFont="1" applyFill="1" applyBorder="1" applyAlignment="1">
      <alignment horizontal="center" vertical="center" wrapText="1"/>
    </xf>
    <xf numFmtId="0" fontId="44" fillId="14" borderId="60" xfId="1" applyFont="1" applyFill="1" applyBorder="1" applyAlignment="1">
      <alignment horizontal="center" vertical="center"/>
    </xf>
    <xf numFmtId="0" fontId="44" fillId="14" borderId="76" xfId="1" applyFont="1" applyFill="1" applyBorder="1" applyAlignment="1">
      <alignment horizontal="center" vertical="center"/>
    </xf>
    <xf numFmtId="0" fontId="44" fillId="14" borderId="83" xfId="1" applyFont="1" applyFill="1" applyBorder="1" applyAlignment="1">
      <alignment horizontal="center" vertical="center" wrapText="1"/>
    </xf>
    <xf numFmtId="0" fontId="44" fillId="14" borderId="84" xfId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44" fillId="14" borderId="69" xfId="1" applyFont="1" applyFill="1" applyBorder="1" applyAlignment="1">
      <alignment horizontal="center" vertical="center" wrapText="1"/>
    </xf>
    <xf numFmtId="0" fontId="44" fillId="14" borderId="78" xfId="1" applyFont="1" applyFill="1" applyBorder="1" applyAlignment="1">
      <alignment horizontal="center" vertical="center" wrapText="1"/>
    </xf>
    <xf numFmtId="0" fontId="52" fillId="0" borderId="0" xfId="0" applyFont="1" applyAlignment="1">
      <alignment horizontal="center"/>
    </xf>
    <xf numFmtId="0" fontId="53" fillId="2" borderId="0" xfId="1" applyFont="1" applyFill="1" applyAlignment="1">
      <alignment horizontal="center" vertical="center" wrapText="1"/>
    </xf>
    <xf numFmtId="0" fontId="51" fillId="2" borderId="0" xfId="1" applyFont="1" applyFill="1" applyAlignment="1">
      <alignment horizontal="center" vertical="center" wrapText="1"/>
    </xf>
    <xf numFmtId="0" fontId="44" fillId="16" borderId="51" xfId="1" applyFont="1" applyFill="1" applyBorder="1" applyAlignment="1">
      <alignment horizontal="center" vertical="center" wrapText="1"/>
    </xf>
    <xf numFmtId="0" fontId="44" fillId="16" borderId="54" xfId="1" applyFont="1" applyFill="1" applyBorder="1" applyAlignment="1">
      <alignment horizontal="center" vertical="center" wrapText="1"/>
    </xf>
    <xf numFmtId="0" fontId="44" fillId="16" borderId="60" xfId="1" applyFont="1" applyFill="1" applyBorder="1" applyAlignment="1">
      <alignment horizontal="center" vertical="center" wrapText="1"/>
    </xf>
    <xf numFmtId="0" fontId="44" fillId="16" borderId="76" xfId="1" applyFont="1" applyFill="1" applyBorder="1" applyAlignment="1">
      <alignment horizontal="center" vertical="center" wrapText="1"/>
    </xf>
    <xf numFmtId="3" fontId="5" fillId="2" borderId="0" xfId="2" applyNumberFormat="1" applyFont="1" applyFill="1" applyAlignment="1">
      <alignment horizontal="center" vertical="center" wrapText="1"/>
    </xf>
    <xf numFmtId="0" fontId="44" fillId="14" borderId="51" xfId="1" applyFont="1" applyFill="1" applyBorder="1" applyAlignment="1">
      <alignment horizontal="center" vertical="center"/>
    </xf>
    <xf numFmtId="0" fontId="44" fillId="14" borderId="54" xfId="1" applyFont="1" applyFill="1" applyBorder="1" applyAlignment="1">
      <alignment horizontal="center" vertical="center"/>
    </xf>
    <xf numFmtId="0" fontId="44" fillId="14" borderId="52" xfId="1" applyFont="1" applyFill="1" applyBorder="1" applyAlignment="1">
      <alignment horizontal="center" vertical="center" wrapText="1"/>
    </xf>
    <xf numFmtId="0" fontId="44" fillId="14" borderId="55" xfId="1" applyFont="1" applyFill="1" applyBorder="1" applyAlignment="1">
      <alignment horizontal="center" vertical="center" wrapText="1"/>
    </xf>
    <xf numFmtId="0" fontId="44" fillId="16" borderId="80" xfId="1" applyFont="1" applyFill="1" applyBorder="1" applyAlignment="1">
      <alignment horizontal="center" vertical="center" wrapText="1"/>
    </xf>
    <xf numFmtId="0" fontId="44" fillId="16" borderId="79" xfId="1" applyFont="1" applyFill="1" applyBorder="1" applyAlignment="1">
      <alignment horizontal="center" vertical="center" wrapText="1"/>
    </xf>
    <xf numFmtId="0" fontId="5" fillId="15" borderId="61" xfId="1" applyFont="1" applyFill="1" applyBorder="1" applyAlignment="1">
      <alignment horizontal="center" vertical="center" wrapText="1"/>
    </xf>
    <xf numFmtId="0" fontId="5" fillId="15" borderId="62" xfId="1" applyFont="1" applyFill="1" applyBorder="1" applyAlignment="1">
      <alignment horizontal="center" vertical="center" wrapText="1"/>
    </xf>
    <xf numFmtId="0" fontId="5" fillId="15" borderId="63" xfId="1" applyFont="1" applyFill="1" applyBorder="1" applyAlignment="1">
      <alignment horizontal="center" vertical="center" wrapText="1"/>
    </xf>
    <xf numFmtId="0" fontId="4" fillId="2" borderId="0" xfId="1" applyFont="1" applyFill="1" applyAlignment="1">
      <alignment horizontal="center" vertical="center"/>
    </xf>
    <xf numFmtId="0" fontId="23" fillId="0" borderId="15" xfId="0" applyFont="1" applyBorder="1" applyAlignment="1">
      <alignment horizontal="center" vertical="center" wrapText="1"/>
    </xf>
    <xf numFmtId="0" fontId="23" fillId="0" borderId="36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6" fillId="0" borderId="9" xfId="0" applyFont="1" applyBorder="1" applyAlignment="1">
      <alignment horizontal="center"/>
    </xf>
    <xf numFmtId="0" fontId="18" fillId="7" borderId="11" xfId="0" applyFont="1" applyFill="1" applyBorder="1" applyAlignment="1">
      <alignment horizontal="left" vertical="center" wrapText="1" indent="4"/>
    </xf>
    <xf numFmtId="0" fontId="18" fillId="7" borderId="12" xfId="0" applyFont="1" applyFill="1" applyBorder="1" applyAlignment="1">
      <alignment horizontal="left" vertical="center" wrapText="1" indent="4"/>
    </xf>
    <xf numFmtId="0" fontId="18" fillId="7" borderId="13" xfId="0" applyFont="1" applyFill="1" applyBorder="1" applyAlignment="1">
      <alignment horizontal="left" vertical="center" wrapText="1" indent="4"/>
    </xf>
    <xf numFmtId="0" fontId="18" fillId="7" borderId="17" xfId="0" applyFont="1" applyFill="1" applyBorder="1" applyAlignment="1">
      <alignment horizontal="left" vertical="center" wrapText="1" indent="4"/>
    </xf>
    <xf numFmtId="0" fontId="18" fillId="7" borderId="18" xfId="0" applyFont="1" applyFill="1" applyBorder="1" applyAlignment="1">
      <alignment horizontal="left" vertical="center" wrapText="1" indent="4"/>
    </xf>
    <xf numFmtId="0" fontId="18" fillId="7" borderId="19" xfId="0" applyFont="1" applyFill="1" applyBorder="1" applyAlignment="1">
      <alignment horizontal="left" vertical="center" wrapText="1" indent="4"/>
    </xf>
    <xf numFmtId="0" fontId="18" fillId="7" borderId="11" xfId="0" applyFont="1" applyFill="1" applyBorder="1" applyAlignment="1">
      <alignment horizontal="left" vertical="center" wrapText="1" indent="15"/>
    </xf>
    <xf numFmtId="0" fontId="18" fillId="7" borderId="12" xfId="0" applyFont="1" applyFill="1" applyBorder="1" applyAlignment="1">
      <alignment horizontal="left" vertical="center" wrapText="1" indent="15"/>
    </xf>
    <xf numFmtId="0" fontId="18" fillId="7" borderId="14" xfId="0" applyFont="1" applyFill="1" applyBorder="1" applyAlignment="1">
      <alignment horizontal="left" vertical="center" wrapText="1" indent="15"/>
    </xf>
    <xf numFmtId="0" fontId="18" fillId="7" borderId="17" xfId="0" applyFont="1" applyFill="1" applyBorder="1" applyAlignment="1">
      <alignment horizontal="left" vertical="center" wrapText="1" indent="15"/>
    </xf>
    <xf numFmtId="0" fontId="18" fillId="7" borderId="18" xfId="0" applyFont="1" applyFill="1" applyBorder="1" applyAlignment="1">
      <alignment horizontal="left" vertical="center" wrapText="1" indent="15"/>
    </xf>
    <xf numFmtId="0" fontId="18" fillId="7" borderId="20" xfId="0" applyFont="1" applyFill="1" applyBorder="1" applyAlignment="1">
      <alignment horizontal="left" vertical="center" wrapText="1" indent="15"/>
    </xf>
    <xf numFmtId="0" fontId="19" fillId="7" borderId="15" xfId="0" applyFont="1" applyFill="1" applyBorder="1" applyAlignment="1">
      <alignment horizontal="left" vertical="center" wrapText="1" indent="15"/>
    </xf>
    <xf numFmtId="0" fontId="19" fillId="7" borderId="21" xfId="0" applyFont="1" applyFill="1" applyBorder="1" applyAlignment="1">
      <alignment horizontal="left" vertical="center" wrapText="1" indent="15"/>
    </xf>
    <xf numFmtId="0" fontId="18" fillId="7" borderId="24" xfId="0" applyFont="1" applyFill="1" applyBorder="1" applyAlignment="1">
      <alignment horizontal="center" vertical="center" wrapText="1"/>
    </xf>
    <xf numFmtId="0" fontId="18" fillId="7" borderId="27" xfId="0" applyFont="1" applyFill="1" applyBorder="1" applyAlignment="1">
      <alignment horizontal="center" vertical="center" wrapText="1"/>
    </xf>
    <xf numFmtId="0" fontId="18" fillId="7" borderId="31" xfId="0" applyFont="1" applyFill="1" applyBorder="1" applyAlignment="1">
      <alignment horizontal="center" vertical="center" wrapText="1"/>
    </xf>
    <xf numFmtId="0" fontId="18" fillId="7" borderId="25" xfId="0" applyFont="1" applyFill="1" applyBorder="1" applyAlignment="1">
      <alignment horizontal="center" vertical="center" wrapText="1"/>
    </xf>
    <xf numFmtId="0" fontId="18" fillId="7" borderId="28" xfId="0" applyFont="1" applyFill="1" applyBorder="1" applyAlignment="1">
      <alignment horizontal="center" vertical="center" wrapText="1"/>
    </xf>
    <xf numFmtId="0" fontId="18" fillId="7" borderId="32" xfId="0" applyFont="1" applyFill="1" applyBorder="1" applyAlignment="1">
      <alignment horizontal="center" vertical="center" wrapText="1"/>
    </xf>
    <xf numFmtId="0" fontId="23" fillId="0" borderId="34" xfId="0" applyFont="1" applyBorder="1" applyAlignment="1">
      <alignment horizontal="center" vertical="center" wrapText="1"/>
    </xf>
    <xf numFmtId="0" fontId="23" fillId="0" borderId="31" xfId="0" applyFont="1" applyBorder="1" applyAlignment="1">
      <alignment horizontal="center" vertical="center" wrapText="1"/>
    </xf>
    <xf numFmtId="0" fontId="23" fillId="0" borderId="34" xfId="0" applyFont="1" applyBorder="1" applyAlignment="1">
      <alignment horizontal="left" vertical="center" wrapText="1" indent="1"/>
    </xf>
    <xf numFmtId="0" fontId="23" fillId="0" borderId="31" xfId="0" applyFont="1" applyBorder="1" applyAlignment="1">
      <alignment horizontal="left" vertical="center" wrapText="1" indent="1"/>
    </xf>
    <xf numFmtId="0" fontId="23" fillId="0" borderId="35" xfId="0" applyFont="1" applyBorder="1" applyAlignment="1">
      <alignment horizontal="left" vertical="center" wrapText="1" indent="1"/>
    </xf>
    <xf numFmtId="0" fontId="23" fillId="0" borderId="32" xfId="0" applyFont="1" applyBorder="1" applyAlignment="1">
      <alignment horizontal="left" vertical="center" wrapText="1" indent="1"/>
    </xf>
    <xf numFmtId="0" fontId="23" fillId="0" borderId="35" xfId="0" applyFont="1" applyBorder="1" applyAlignment="1">
      <alignment horizontal="justify" vertical="center" wrapText="1"/>
    </xf>
    <xf numFmtId="0" fontId="23" fillId="0" borderId="28" xfId="0" applyFont="1" applyBorder="1" applyAlignment="1">
      <alignment horizontal="justify" vertical="center" wrapText="1"/>
    </xf>
    <xf numFmtId="0" fontId="23" fillId="0" borderId="37" xfId="0" applyFont="1" applyBorder="1" applyAlignment="1">
      <alignment horizontal="center" vertical="center" wrapText="1"/>
    </xf>
    <xf numFmtId="0" fontId="23" fillId="0" borderId="10" xfId="0" applyFont="1" applyBorder="1" applyAlignment="1">
      <alignment horizontal="center" vertical="center" wrapText="1"/>
    </xf>
    <xf numFmtId="0" fontId="23" fillId="0" borderId="16" xfId="0" applyFont="1" applyBorder="1" applyAlignment="1">
      <alignment horizontal="center" vertical="center" wrapText="1"/>
    </xf>
    <xf numFmtId="0" fontId="23" fillId="0" borderId="29" xfId="0" applyFont="1" applyBorder="1" applyAlignment="1">
      <alignment horizontal="center" vertical="center" wrapText="1"/>
    </xf>
    <xf numFmtId="0" fontId="24" fillId="0" borderId="34" xfId="0" applyFont="1" applyBorder="1" applyAlignment="1">
      <alignment vertical="center" wrapText="1"/>
    </xf>
    <xf numFmtId="0" fontId="24" fillId="0" borderId="27" xfId="0" applyFont="1" applyBorder="1" applyAlignment="1">
      <alignment vertical="center" wrapText="1"/>
    </xf>
    <xf numFmtId="0" fontId="24" fillId="0" borderId="31" xfId="0" applyFont="1" applyBorder="1" applyAlignment="1">
      <alignment vertical="center" wrapText="1"/>
    </xf>
    <xf numFmtId="0" fontId="23" fillId="0" borderId="27" xfId="0" applyFont="1" applyBorder="1" applyAlignment="1">
      <alignment horizontal="center" vertical="center" wrapText="1"/>
    </xf>
    <xf numFmtId="4" fontId="24" fillId="0" borderId="34" xfId="0" applyNumberFormat="1" applyFont="1" applyBorder="1" applyAlignment="1">
      <alignment horizontal="left" vertical="center" wrapText="1" indent="1"/>
    </xf>
    <xf numFmtId="4" fontId="24" fillId="0" borderId="27" xfId="0" applyNumberFormat="1" applyFont="1" applyBorder="1" applyAlignment="1">
      <alignment horizontal="left" vertical="center" wrapText="1" indent="1"/>
    </xf>
    <xf numFmtId="4" fontId="24" fillId="0" borderId="31" xfId="0" applyNumberFormat="1" applyFont="1" applyBorder="1" applyAlignment="1">
      <alignment horizontal="left" vertical="center" wrapText="1" indent="1"/>
    </xf>
    <xf numFmtId="0" fontId="23" fillId="0" borderId="39" xfId="0" applyFont="1" applyBorder="1" applyAlignment="1">
      <alignment horizontal="center" vertical="center" wrapText="1"/>
    </xf>
    <xf numFmtId="0" fontId="23" fillId="0" borderId="27" xfId="0" applyFont="1" applyBorder="1" applyAlignment="1">
      <alignment horizontal="left" vertical="center" wrapText="1" indent="1"/>
    </xf>
    <xf numFmtId="0" fontId="23" fillId="0" borderId="28" xfId="0" applyFont="1" applyBorder="1" applyAlignment="1">
      <alignment horizontal="left" vertical="center" wrapText="1" indent="1"/>
    </xf>
    <xf numFmtId="0" fontId="23" fillId="0" borderId="38" xfId="0" applyFont="1" applyBorder="1" applyAlignment="1">
      <alignment horizontal="center" vertical="center" wrapText="1"/>
    </xf>
    <xf numFmtId="0" fontId="23" fillId="0" borderId="34" xfId="0" applyFont="1" applyBorder="1" applyAlignment="1">
      <alignment horizontal="justify" vertical="center" wrapText="1"/>
    </xf>
    <xf numFmtId="0" fontId="23" fillId="0" borderId="27" xfId="0" applyFont="1" applyBorder="1" applyAlignment="1">
      <alignment horizontal="justify" vertical="center" wrapText="1"/>
    </xf>
    <xf numFmtId="0" fontId="23" fillId="0" borderId="31" xfId="0" applyFont="1" applyBorder="1" applyAlignment="1">
      <alignment horizontal="justify" vertical="center" wrapText="1"/>
    </xf>
    <xf numFmtId="0" fontId="23" fillId="0" borderId="32" xfId="0" applyFont="1" applyBorder="1" applyAlignment="1">
      <alignment horizontal="justify" vertical="center" wrapText="1"/>
    </xf>
    <xf numFmtId="0" fontId="23" fillId="0" borderId="35" xfId="0" applyFont="1" applyBorder="1" applyAlignment="1">
      <alignment horizontal="center" vertical="center" wrapText="1"/>
    </xf>
    <xf numFmtId="0" fontId="23" fillId="0" borderId="28" xfId="0" applyFont="1" applyBorder="1" applyAlignment="1">
      <alignment horizontal="center" vertical="center" wrapText="1"/>
    </xf>
    <xf numFmtId="0" fontId="23" fillId="0" borderId="41" xfId="0" applyFont="1" applyBorder="1" applyAlignment="1">
      <alignment horizontal="center" vertical="center" wrapText="1"/>
    </xf>
    <xf numFmtId="0" fontId="23" fillId="0" borderId="42" xfId="0" applyFont="1" applyBorder="1" applyAlignment="1">
      <alignment horizontal="center" vertical="center" wrapText="1"/>
    </xf>
    <xf numFmtId="4" fontId="24" fillId="0" borderId="27" xfId="0" applyNumberFormat="1" applyFont="1" applyBorder="1" applyAlignment="1">
      <alignment horizontal="left" vertical="center" wrapText="1" indent="2"/>
    </xf>
    <xf numFmtId="4" fontId="24" fillId="0" borderId="31" xfId="0" applyNumberFormat="1" applyFont="1" applyBorder="1" applyAlignment="1">
      <alignment horizontal="left" vertical="center" wrapText="1" indent="2"/>
    </xf>
    <xf numFmtId="0" fontId="23" fillId="0" borderId="27" xfId="0" applyFont="1" applyBorder="1" applyAlignment="1">
      <alignment vertical="center" wrapText="1"/>
    </xf>
    <xf numFmtId="0" fontId="23" fillId="0" borderId="31" xfId="0" applyFont="1" applyBorder="1" applyAlignment="1">
      <alignment vertical="center" wrapText="1"/>
    </xf>
    <xf numFmtId="0" fontId="23" fillId="0" borderId="28" xfId="0" applyFont="1" applyBorder="1" applyAlignment="1">
      <alignment vertical="center" wrapText="1"/>
    </xf>
    <xf numFmtId="0" fontId="23" fillId="0" borderId="32" xfId="0" applyFont="1" applyBorder="1" applyAlignment="1">
      <alignment vertical="center" wrapText="1"/>
    </xf>
    <xf numFmtId="0" fontId="23" fillId="0" borderId="40" xfId="0" applyFont="1" applyBorder="1" applyAlignment="1">
      <alignment horizontal="center" vertical="center" wrapText="1"/>
    </xf>
    <xf numFmtId="0" fontId="24" fillId="0" borderId="38" xfId="0" applyFont="1" applyBorder="1" applyAlignment="1">
      <alignment vertical="center" wrapText="1"/>
    </xf>
    <xf numFmtId="4" fontId="24" fillId="0" borderId="38" xfId="0" applyNumberFormat="1" applyFont="1" applyBorder="1" applyAlignment="1">
      <alignment horizontal="left" vertical="center" wrapText="1" indent="1"/>
    </xf>
    <xf numFmtId="0" fontId="23" fillId="0" borderId="38" xfId="0" applyFont="1" applyBorder="1" applyAlignment="1">
      <alignment horizontal="justify" vertical="center" wrapText="1"/>
    </xf>
    <xf numFmtId="0" fontId="23" fillId="0" borderId="32" xfId="0" applyFont="1" applyBorder="1" applyAlignment="1">
      <alignment horizontal="center" vertical="center" wrapText="1"/>
    </xf>
    <xf numFmtId="4" fontId="24" fillId="0" borderId="34" xfId="0" applyNumberFormat="1" applyFont="1" applyBorder="1" applyAlignment="1">
      <alignment horizontal="left" vertical="center" wrapText="1" indent="2"/>
    </xf>
    <xf numFmtId="4" fontId="24" fillId="0" borderId="38" xfId="0" applyNumberFormat="1" applyFont="1" applyBorder="1" applyAlignment="1">
      <alignment horizontal="left" vertical="center" wrapText="1" indent="2"/>
    </xf>
    <xf numFmtId="0" fontId="23" fillId="0" borderId="38" xfId="0" applyFont="1" applyBorder="1" applyAlignment="1">
      <alignment horizontal="left" vertical="center" wrapText="1" indent="1"/>
    </xf>
    <xf numFmtId="0" fontId="23" fillId="0" borderId="34" xfId="0" applyFont="1" applyBorder="1" applyAlignment="1">
      <alignment vertical="center" wrapText="1"/>
    </xf>
    <xf numFmtId="0" fontId="1" fillId="0" borderId="53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31" fillId="0" borderId="0" xfId="0" applyFont="1" applyAlignment="1">
      <alignment horizontal="center"/>
    </xf>
    <xf numFmtId="0" fontId="1" fillId="0" borderId="50" xfId="0" applyFont="1" applyBorder="1" applyAlignment="1">
      <alignment horizontal="right"/>
    </xf>
    <xf numFmtId="0" fontId="1" fillId="0" borderId="51" xfId="0" applyFont="1" applyBorder="1" applyAlignment="1">
      <alignment horizontal="right"/>
    </xf>
    <xf numFmtId="0" fontId="55" fillId="0" borderId="3" xfId="0" applyFont="1" applyBorder="1" applyAlignment="1">
      <alignment horizontal="center" vertical="center"/>
    </xf>
    <xf numFmtId="0" fontId="55" fillId="0" borderId="7" xfId="0" applyFont="1" applyBorder="1" applyAlignment="1">
      <alignment horizontal="center" vertical="center"/>
    </xf>
    <xf numFmtId="0" fontId="55" fillId="0" borderId="75" xfId="0" applyFont="1" applyBorder="1" applyAlignment="1">
      <alignment horizontal="center" vertical="center"/>
    </xf>
  </cellXfs>
  <cellStyles count="4">
    <cellStyle name="Normal" xfId="0" builtinId="0"/>
    <cellStyle name="Normal 2 2" xfId="2"/>
    <cellStyle name="Normal 2 4" xfId="3"/>
    <cellStyle name="Normal 3" xfId="1"/>
  </cellStyles>
  <dxfs count="0"/>
  <tableStyles count="0" defaultTableStyle="TableStyleMedium2" defaultPivotStyle="PivotStyleLight16"/>
  <colors>
    <mruColors>
      <color rgb="FFFFCCFF"/>
      <color rgb="FFCCECFF"/>
      <color rgb="FFCCFF99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jpe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7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25</xdr:col>
      <xdr:colOff>303543</xdr:colOff>
      <xdr:row>0</xdr:row>
      <xdr:rowOff>52335</xdr:rowOff>
    </xdr:from>
    <xdr:to>
      <xdr:col>32</xdr:col>
      <xdr:colOff>660743</xdr:colOff>
      <xdr:row>2</xdr:row>
      <xdr:rowOff>12173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45D22199-8AC8-43BB-B688-FE52427C9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62343" y="52335"/>
          <a:ext cx="660743" cy="7980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73270</xdr:colOff>
      <xdr:row>0</xdr:row>
      <xdr:rowOff>73269</xdr:rowOff>
    </xdr:from>
    <xdr:to>
      <xdr:col>1</xdr:col>
      <xdr:colOff>921099</xdr:colOff>
      <xdr:row>1</xdr:row>
      <xdr:rowOff>639982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B61E63E-EC2B-423C-A838-A9DE8DC5BE2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7120" y="73269"/>
          <a:ext cx="847829" cy="75721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25</xdr:col>
      <xdr:colOff>303543</xdr:colOff>
      <xdr:row>0</xdr:row>
      <xdr:rowOff>52335</xdr:rowOff>
    </xdr:from>
    <xdr:to>
      <xdr:col>25</xdr:col>
      <xdr:colOff>964286</xdr:colOff>
      <xdr:row>2</xdr:row>
      <xdr:rowOff>12173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D1B196C6-95BA-4AA3-AA82-083195586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62343" y="52335"/>
          <a:ext cx="660743" cy="7980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73270</xdr:colOff>
      <xdr:row>0</xdr:row>
      <xdr:rowOff>73269</xdr:rowOff>
    </xdr:from>
    <xdr:to>
      <xdr:col>1</xdr:col>
      <xdr:colOff>921099</xdr:colOff>
      <xdr:row>1</xdr:row>
      <xdr:rowOff>639982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49E9476-6DB1-4995-BC36-7745B6EF6A22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7120" y="73269"/>
          <a:ext cx="847829" cy="75721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602051</xdr:colOff>
      <xdr:row>1</xdr:row>
      <xdr:rowOff>135865</xdr:rowOff>
    </xdr:from>
    <xdr:to>
      <xdr:col>7</xdr:col>
      <xdr:colOff>689034</xdr:colOff>
      <xdr:row>4</xdr:row>
      <xdr:rowOff>89857</xdr:rowOff>
    </xdr:to>
    <xdr:pic>
      <xdr:nvPicPr>
        <xdr:cNvPr id="5" name="Imagen 1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848" y="324568"/>
          <a:ext cx="2270544" cy="4841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35942</xdr:colOff>
      <xdr:row>1</xdr:row>
      <xdr:rowOff>80873</xdr:rowOff>
    </xdr:from>
    <xdr:to>
      <xdr:col>2</xdr:col>
      <xdr:colOff>341461</xdr:colOff>
      <xdr:row>5</xdr:row>
      <xdr:rowOff>44928</xdr:rowOff>
    </xdr:to>
    <xdr:pic>
      <xdr:nvPicPr>
        <xdr:cNvPr id="8" name="Imagen 1" descr="MINISTERIO DE MINERIA Y METALURGIA - BOLIVIA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8159" y="269576"/>
          <a:ext cx="1509623" cy="6829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44931</xdr:colOff>
      <xdr:row>0</xdr:row>
      <xdr:rowOff>152760</xdr:rowOff>
    </xdr:from>
    <xdr:to>
      <xdr:col>1</xdr:col>
      <xdr:colOff>1275992</xdr:colOff>
      <xdr:row>2</xdr:row>
      <xdr:rowOff>17758</xdr:rowOff>
    </xdr:to>
    <xdr:pic>
      <xdr:nvPicPr>
        <xdr:cNvPr id="9" name="Imagen 1" descr="MINISTERIO DE MINERIA Y METALURGIA - BOLIVIA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53" y="152760"/>
          <a:ext cx="1231061" cy="6018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98844</xdr:colOff>
      <xdr:row>1</xdr:row>
      <xdr:rowOff>44928</xdr:rowOff>
    </xdr:from>
    <xdr:to>
      <xdr:col>6</xdr:col>
      <xdr:colOff>727853</xdr:colOff>
      <xdr:row>1</xdr:row>
      <xdr:rowOff>494221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3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564811" y="233631"/>
          <a:ext cx="1347877" cy="44929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184029</xdr:colOff>
      <xdr:row>1</xdr:row>
      <xdr:rowOff>28575</xdr:rowOff>
    </xdr:from>
    <xdr:to>
      <xdr:col>2</xdr:col>
      <xdr:colOff>453606</xdr:colOff>
      <xdr:row>5</xdr:row>
      <xdr:rowOff>114299</xdr:rowOff>
    </xdr:to>
    <xdr:pic>
      <xdr:nvPicPr>
        <xdr:cNvPr id="4" name="Imagen 1" descr="MINISTERIO DE MINERIA Y METALURGIA - BOLIVIA">
          <a:extLst>
            <a:ext uri="{FF2B5EF4-FFF2-40B4-BE49-F238E27FC236}">
              <a16:creationId xmlns:a16="http://schemas.microsoft.com/office/drawing/2014/main" id="{00000000-0008-0000-0D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579" y="219075"/>
          <a:ext cx="1488777" cy="9239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590550</xdr:colOff>
      <xdr:row>1</xdr:row>
      <xdr:rowOff>47625</xdr:rowOff>
    </xdr:from>
    <xdr:to>
      <xdr:col>38</xdr:col>
      <xdr:colOff>820407</xdr:colOff>
      <xdr:row>5</xdr:row>
      <xdr:rowOff>47625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D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211050" y="238125"/>
          <a:ext cx="1753857" cy="8382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303543</xdr:colOff>
      <xdr:row>1</xdr:row>
      <xdr:rowOff>52335</xdr:rowOff>
    </xdr:from>
    <xdr:to>
      <xdr:col>24</xdr:col>
      <xdr:colOff>964286</xdr:colOff>
      <xdr:row>3</xdr:row>
      <xdr:rowOff>12173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7F6BCB9D-6A65-459D-89C3-1D25B3AB9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62343" y="52335"/>
          <a:ext cx="660743" cy="7980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309563</xdr:colOff>
      <xdr:row>1</xdr:row>
      <xdr:rowOff>166688</xdr:rowOff>
    </xdr:from>
    <xdr:to>
      <xdr:col>4</xdr:col>
      <xdr:colOff>520289</xdr:colOff>
      <xdr:row>3</xdr:row>
      <xdr:rowOff>166687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id="{08DFA674-01FE-4BBB-9398-AF693F56F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965" r="25639" b="15144"/>
        <a:stretch>
          <a:fillRect/>
        </a:stretch>
      </xdr:blipFill>
      <xdr:spPr bwMode="auto">
        <a:xfrm>
          <a:off x="309563" y="166688"/>
          <a:ext cx="4737482" cy="8381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25</xdr:col>
      <xdr:colOff>303543</xdr:colOff>
      <xdr:row>0</xdr:row>
      <xdr:rowOff>52335</xdr:rowOff>
    </xdr:from>
    <xdr:to>
      <xdr:col>25</xdr:col>
      <xdr:colOff>964286</xdr:colOff>
      <xdr:row>2</xdr:row>
      <xdr:rowOff>12173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D634BB6C-99EF-4C6C-B1A3-5CF160152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62343" y="52335"/>
          <a:ext cx="660743" cy="7980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309563</xdr:colOff>
      <xdr:row>0</xdr:row>
      <xdr:rowOff>166688</xdr:rowOff>
    </xdr:from>
    <xdr:to>
      <xdr:col>8</xdr:col>
      <xdr:colOff>55945</xdr:colOff>
      <xdr:row>2</xdr:row>
      <xdr:rowOff>166687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CAECCE0D-3D55-4243-98D0-86E15A181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965" r="25639" b="15144"/>
        <a:stretch>
          <a:fillRect/>
        </a:stretch>
      </xdr:blipFill>
      <xdr:spPr bwMode="auto">
        <a:xfrm>
          <a:off x="309563" y="166688"/>
          <a:ext cx="4735101" cy="83343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25</xdr:col>
      <xdr:colOff>303543</xdr:colOff>
      <xdr:row>0</xdr:row>
      <xdr:rowOff>52335</xdr:rowOff>
    </xdr:from>
    <xdr:to>
      <xdr:col>25</xdr:col>
      <xdr:colOff>964286</xdr:colOff>
      <xdr:row>2</xdr:row>
      <xdr:rowOff>12173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40CC4C5C-001E-4655-BAA2-9253738FC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62343" y="52335"/>
          <a:ext cx="660743" cy="7980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73270</xdr:colOff>
      <xdr:row>0</xdr:row>
      <xdr:rowOff>73269</xdr:rowOff>
    </xdr:from>
    <xdr:to>
      <xdr:col>1</xdr:col>
      <xdr:colOff>921099</xdr:colOff>
      <xdr:row>1</xdr:row>
      <xdr:rowOff>639982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908D247-20FC-430A-B918-A0DFDFEEF36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7120" y="73269"/>
          <a:ext cx="847829" cy="757213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25</xdr:col>
      <xdr:colOff>303543</xdr:colOff>
      <xdr:row>0</xdr:row>
      <xdr:rowOff>52335</xdr:rowOff>
    </xdr:from>
    <xdr:to>
      <xdr:col>25</xdr:col>
      <xdr:colOff>964286</xdr:colOff>
      <xdr:row>2</xdr:row>
      <xdr:rowOff>12173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FFCD3B54-3646-42FA-B352-FC5E41B26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62343" y="52335"/>
          <a:ext cx="660743" cy="7980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73270</xdr:colOff>
      <xdr:row>0</xdr:row>
      <xdr:rowOff>73269</xdr:rowOff>
    </xdr:from>
    <xdr:to>
      <xdr:col>1</xdr:col>
      <xdr:colOff>921099</xdr:colOff>
      <xdr:row>1</xdr:row>
      <xdr:rowOff>639982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067243D-A5E9-427D-B13F-9C50488AA681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7120" y="73269"/>
          <a:ext cx="847829" cy="757213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25</xdr:col>
      <xdr:colOff>303543</xdr:colOff>
      <xdr:row>0</xdr:row>
      <xdr:rowOff>52335</xdr:rowOff>
    </xdr:from>
    <xdr:to>
      <xdr:col>25</xdr:col>
      <xdr:colOff>964286</xdr:colOff>
      <xdr:row>2</xdr:row>
      <xdr:rowOff>12173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C297CA6D-9AF9-4BD9-9856-04BAE1918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62343" y="52335"/>
          <a:ext cx="660743" cy="7980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73270</xdr:colOff>
      <xdr:row>0</xdr:row>
      <xdr:rowOff>73269</xdr:rowOff>
    </xdr:from>
    <xdr:to>
      <xdr:col>1</xdr:col>
      <xdr:colOff>921099</xdr:colOff>
      <xdr:row>1</xdr:row>
      <xdr:rowOff>639982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D2BE803-164D-401C-9E7D-8FC66E773FE8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7120" y="73269"/>
          <a:ext cx="847829" cy="757213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25</xdr:col>
      <xdr:colOff>303543</xdr:colOff>
      <xdr:row>0</xdr:row>
      <xdr:rowOff>52335</xdr:rowOff>
    </xdr:from>
    <xdr:to>
      <xdr:col>25</xdr:col>
      <xdr:colOff>964286</xdr:colOff>
      <xdr:row>2</xdr:row>
      <xdr:rowOff>12173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28924C5B-5F5A-461D-A6DE-A7223BEC1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62343" y="52335"/>
          <a:ext cx="660743" cy="7980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73270</xdr:colOff>
      <xdr:row>0</xdr:row>
      <xdr:rowOff>73269</xdr:rowOff>
    </xdr:from>
    <xdr:to>
      <xdr:col>1</xdr:col>
      <xdr:colOff>921099</xdr:colOff>
      <xdr:row>1</xdr:row>
      <xdr:rowOff>639982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53F2020-6954-4DF1-9E75-79D6BC9F92DA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7120" y="73269"/>
          <a:ext cx="847829" cy="757213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457200</xdr:colOff>
      <xdr:row>0</xdr:row>
      <xdr:rowOff>47625</xdr:rowOff>
    </xdr:from>
    <xdr:to>
      <xdr:col>13</xdr:col>
      <xdr:colOff>476250</xdr:colOff>
      <xdr:row>2</xdr:row>
      <xdr:rowOff>0</xdr:rowOff>
    </xdr:to>
    <xdr:pic>
      <xdr:nvPicPr>
        <xdr:cNvPr id="5" name="4 Imagen">
          <a:extLst>
            <a:ext uri="{FF2B5EF4-FFF2-40B4-BE49-F238E27FC236}">
              <a16:creationId xmlns:a16="http://schemas.microsoft.com/office/drawing/2014/main" id="{C2CF5147-3664-4CB4-A787-C4B54CB85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47625"/>
          <a:ext cx="6000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57150</xdr:colOff>
      <xdr:row>0</xdr:row>
      <xdr:rowOff>114300</xdr:rowOff>
    </xdr:from>
    <xdr:to>
      <xdr:col>0</xdr:col>
      <xdr:colOff>904979</xdr:colOff>
      <xdr:row>2</xdr:row>
      <xdr:rowOff>78845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779349A-E92E-4568-A394-917885069E09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114300"/>
          <a:ext cx="847829" cy="75512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731799</xdr:colOff>
      <xdr:row>0</xdr:row>
      <xdr:rowOff>139391</xdr:rowOff>
    </xdr:from>
    <xdr:to>
      <xdr:col>8</xdr:col>
      <xdr:colOff>11617</xdr:colOff>
      <xdr:row>3</xdr:row>
      <xdr:rowOff>104512</xdr:rowOff>
    </xdr:to>
    <xdr:pic>
      <xdr:nvPicPr>
        <xdr:cNvPr id="2" name="0 Imagen" descr="logo CIQ - copia.png">
          <a:extLst>
            <a:ext uri="{FF2B5EF4-FFF2-40B4-BE49-F238E27FC236}">
              <a16:creationId xmlns:a16="http://schemas.microsoft.com/office/drawing/2014/main" id="{B3CD7D61-38D2-4D5C-AB12-06A7B51F7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9174" y="139391"/>
          <a:ext cx="689518" cy="69854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152400</xdr:colOff>
      <xdr:row>0</xdr:row>
      <xdr:rowOff>79100</xdr:rowOff>
    </xdr:from>
    <xdr:to>
      <xdr:col>7</xdr:col>
      <xdr:colOff>676274</xdr:colOff>
      <xdr:row>3</xdr:row>
      <xdr:rowOff>219076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5A6BFED0-5218-4FC2-8131-E21D4F4AF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9050" y="79100"/>
          <a:ext cx="523874" cy="7114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9525</xdr:rowOff>
    </xdr:from>
    <xdr:to>
      <xdr:col>3</xdr:col>
      <xdr:colOff>733425</xdr:colOff>
      <xdr:row>4</xdr:row>
      <xdr:rowOff>4762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608A44E1-3455-470E-B70C-AB3DF6B728D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75" t="12965" r="41065" b="15144"/>
        <a:stretch/>
      </xdr:blipFill>
      <xdr:spPr bwMode="auto">
        <a:xfrm>
          <a:off x="0" y="9525"/>
          <a:ext cx="3200400" cy="83343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FOFIM%20ELKI%202023\PRESUPUESTO%20GESTION%202023\PLANILLA%20SALARIAL%202023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EliseoSamuel\Downloads\REgaReporteDinamico%20(18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la salarial CONSULTORES"/>
      <sheetName val="planilla salarial (5)"/>
      <sheetName val="ESCALA SALARIAL-PROPUESTA"/>
      <sheetName val="ESTRUCTURA DE CARGOS"/>
      <sheetName val="PLANILLA SALARIAL "/>
      <sheetName val="DIRECTOR"/>
      <sheetName val="planilla salarial 2022"/>
      <sheetName val="planilla salarial (6)"/>
      <sheetName val="planilla salarial (4)"/>
      <sheetName val="planilla salarial (3)"/>
      <sheetName val="planilla salarial (2)"/>
      <sheetName val="Hoja5"/>
      <sheetName val="Hoja2"/>
      <sheetName val="escala salarial (3)"/>
    </sheetNames>
    <sheetDataSet>
      <sheetData sheetId="0"/>
      <sheetData sheetId="1"/>
      <sheetData sheetId="2"/>
      <sheetData sheetId="3"/>
      <sheetData sheetId="4">
        <row r="5">
          <cell r="B5" t="str">
            <v>DENOMINACIÓN DEL PUESTO</v>
          </cell>
          <cell r="C5" t="str">
            <v xml:space="preserve">DESCRIPCIÓN DE PUESTO </v>
          </cell>
          <cell r="E5" t="str">
            <v>GESTION</v>
          </cell>
          <cell r="F5" t="str">
            <v xml:space="preserve">CATEGORIA </v>
          </cell>
          <cell r="G5" t="str">
            <v xml:space="preserve">HABER BASICO </v>
          </cell>
        </row>
        <row r="7">
          <cell r="B7" t="str">
            <v>Especialista II</v>
          </cell>
          <cell r="C7" t="str">
            <v>Director General Ejecutivo</v>
          </cell>
          <cell r="E7">
            <v>2023</v>
          </cell>
          <cell r="F7" t="str">
            <v>EJECUTIVO</v>
          </cell>
          <cell r="G7">
            <v>16958</v>
          </cell>
        </row>
        <row r="8">
          <cell r="B8" t="str">
            <v>Profesional VII</v>
          </cell>
          <cell r="C8" t="str">
            <v>Responsable de la Unida de Auditoria Interna</v>
          </cell>
          <cell r="E8">
            <v>2023</v>
          </cell>
          <cell r="F8" t="str">
            <v xml:space="preserve">OPERATIVO </v>
          </cell>
          <cell r="G8">
            <v>10693</v>
          </cell>
        </row>
        <row r="9">
          <cell r="B9" t="str">
            <v xml:space="preserve">Tecnico VI </v>
          </cell>
          <cell r="C9" t="str">
            <v xml:space="preserve">Profesional en Transparencia y Lucha contra la Corrupcion </v>
          </cell>
          <cell r="E9">
            <v>2023</v>
          </cell>
          <cell r="F9" t="str">
            <v xml:space="preserve">OPERATIVO </v>
          </cell>
          <cell r="G9">
            <v>6906</v>
          </cell>
        </row>
        <row r="10">
          <cell r="B10" t="str">
            <v xml:space="preserve">Tecnico VI </v>
          </cell>
          <cell r="C10" t="str">
            <v>Profesional en Planificacion Institucional</v>
          </cell>
          <cell r="E10">
            <v>2023</v>
          </cell>
          <cell r="F10" t="str">
            <v xml:space="preserve">OPERATIVO </v>
          </cell>
          <cell r="G10">
            <v>6906</v>
          </cell>
        </row>
        <row r="11">
          <cell r="B11" t="str">
            <v>Tecnico VI</v>
          </cell>
          <cell r="C11" t="str">
            <v xml:space="preserve">Profesional en Comunicación Institucional </v>
          </cell>
          <cell r="E11">
            <v>2023</v>
          </cell>
          <cell r="F11" t="str">
            <v xml:space="preserve">OPERATIVO </v>
          </cell>
          <cell r="G11">
            <v>6906</v>
          </cell>
        </row>
        <row r="12">
          <cell r="B12" t="str">
            <v>Auxiliar I</v>
          </cell>
          <cell r="C12" t="str">
            <v>Secretaria de DGE</v>
          </cell>
          <cell r="E12">
            <v>2023</v>
          </cell>
          <cell r="F12" t="str">
            <v xml:space="preserve">OPERATIVO </v>
          </cell>
          <cell r="G12">
            <v>4009</v>
          </cell>
        </row>
        <row r="13">
          <cell r="B13" t="str">
            <v>Auxiliar I</v>
          </cell>
          <cell r="C13" t="str">
            <v>Chofer Mensajero DGE</v>
          </cell>
          <cell r="E13">
            <v>2023</v>
          </cell>
          <cell r="F13" t="str">
            <v xml:space="preserve">OPERATIVO </v>
          </cell>
          <cell r="G13">
            <v>4009</v>
          </cell>
        </row>
        <row r="14">
          <cell r="B14" t="str">
            <v>Responsable IV</v>
          </cell>
          <cell r="C14" t="str">
            <v>Director de Asuntos Juridicos</v>
          </cell>
          <cell r="E14">
            <v>2023</v>
          </cell>
          <cell r="F14" t="str">
            <v xml:space="preserve">OPERATIVO </v>
          </cell>
          <cell r="G14">
            <v>13738</v>
          </cell>
        </row>
        <row r="15">
          <cell r="B15" t="str">
            <v>Tecnico VI</v>
          </cell>
          <cell r="C15" t="str">
            <v>Profesional en Analisis Juridico</v>
          </cell>
          <cell r="E15">
            <v>2023</v>
          </cell>
          <cell r="F15" t="str">
            <v xml:space="preserve">OPERATIVO </v>
          </cell>
          <cell r="G15">
            <v>6906</v>
          </cell>
        </row>
        <row r="16">
          <cell r="B16" t="str">
            <v>Tecnico V</v>
          </cell>
          <cell r="C16" t="str">
            <v>Profesional en Gestion Juridica</v>
          </cell>
          <cell r="E16">
            <v>2023</v>
          </cell>
          <cell r="F16" t="str">
            <v xml:space="preserve">OPERATIVO </v>
          </cell>
          <cell r="G16">
            <v>7722</v>
          </cell>
        </row>
        <row r="17">
          <cell r="B17" t="str">
            <v>Administrativo II</v>
          </cell>
          <cell r="C17" t="str">
            <v xml:space="preserve">Tecnico Abogado Procurador </v>
          </cell>
          <cell r="E17">
            <v>2023</v>
          </cell>
          <cell r="F17" t="str">
            <v xml:space="preserve">OPERATIVO </v>
          </cell>
          <cell r="G17">
            <v>5494</v>
          </cell>
        </row>
        <row r="18">
          <cell r="B18" t="str">
            <v>Responsable IV</v>
          </cell>
          <cell r="C18" t="str">
            <v>Director Administrativo Financiero</v>
          </cell>
          <cell r="E18">
            <v>2023</v>
          </cell>
          <cell r="F18" t="str">
            <v xml:space="preserve">OPERATIVO </v>
          </cell>
          <cell r="G18">
            <v>13738</v>
          </cell>
        </row>
        <row r="19">
          <cell r="B19" t="str">
            <v>Profesional IX</v>
          </cell>
          <cell r="C19" t="str">
            <v>Profesional Presupuesto Contable</v>
          </cell>
          <cell r="E19">
            <v>2023</v>
          </cell>
          <cell r="F19" t="str">
            <v xml:space="preserve">OPERATIVO </v>
          </cell>
          <cell r="G19">
            <v>9282</v>
          </cell>
        </row>
        <row r="20">
          <cell r="B20" t="str">
            <v>Tecnico IV</v>
          </cell>
          <cell r="C20" t="str">
            <v>Profesional Administrativo y Recursos Humanos</v>
          </cell>
          <cell r="E20">
            <v>2023</v>
          </cell>
          <cell r="F20" t="str">
            <v xml:space="preserve">OPERATIVO </v>
          </cell>
          <cell r="G20">
            <v>8689</v>
          </cell>
        </row>
        <row r="21">
          <cell r="B21" t="str">
            <v>Tecnico VI</v>
          </cell>
          <cell r="C21" t="str">
            <v>Tecnico en Sistemas y Soporte Tecnico</v>
          </cell>
          <cell r="E21">
            <v>2023</v>
          </cell>
          <cell r="F21" t="str">
            <v xml:space="preserve">OPERATIVO </v>
          </cell>
          <cell r="G21">
            <v>6906</v>
          </cell>
        </row>
        <row r="22">
          <cell r="B22" t="str">
            <v>Administrativo I</v>
          </cell>
          <cell r="C22" t="str">
            <v>Tecnico de Almacenes, Activos Fijos y Contrataciones</v>
          </cell>
          <cell r="E22">
            <v>2023</v>
          </cell>
          <cell r="F22" t="str">
            <v xml:space="preserve">OPERATIVO </v>
          </cell>
          <cell r="G22">
            <v>5971</v>
          </cell>
        </row>
        <row r="23">
          <cell r="B23" t="str">
            <v>Auxiliar II</v>
          </cell>
          <cell r="C23" t="str">
            <v xml:space="preserve">Auxiliar de Limpieza </v>
          </cell>
          <cell r="E23">
            <v>2023</v>
          </cell>
          <cell r="F23" t="str">
            <v xml:space="preserve">OPERATIVO </v>
          </cell>
          <cell r="G23">
            <v>3340</v>
          </cell>
        </row>
        <row r="24">
          <cell r="B24" t="str">
            <v>Responsable IV</v>
          </cell>
          <cell r="C24" t="str">
            <v xml:space="preserve">Director Integral de Prestamos </v>
          </cell>
          <cell r="E24">
            <v>2023</v>
          </cell>
          <cell r="F24" t="str">
            <v xml:space="preserve">OPERATIVO </v>
          </cell>
          <cell r="G24">
            <v>13738</v>
          </cell>
        </row>
        <row r="25">
          <cell r="B25" t="str">
            <v>Profesional VII</v>
          </cell>
          <cell r="C25" t="str">
            <v xml:space="preserve">Responsable de la Unidad Tecnica de Préstamos </v>
          </cell>
          <cell r="E25">
            <v>2023</v>
          </cell>
          <cell r="F25" t="str">
            <v xml:space="preserve">OPERATIVO </v>
          </cell>
          <cell r="G25">
            <v>10693</v>
          </cell>
        </row>
        <row r="26">
          <cell r="B26" t="str">
            <v>Profesional VII</v>
          </cell>
          <cell r="C26" t="str">
            <v>Responsable de la Unidad Tecnica de Proyectos</v>
          </cell>
          <cell r="E26">
            <v>2023</v>
          </cell>
          <cell r="F26" t="str">
            <v xml:space="preserve">OPERATIVO </v>
          </cell>
          <cell r="G26">
            <v>10693</v>
          </cell>
        </row>
        <row r="27">
          <cell r="B27" t="str">
            <v>Profesional IX</v>
          </cell>
          <cell r="C27" t="str">
            <v>Profesional Ingeniero Geólogo</v>
          </cell>
          <cell r="E27">
            <v>2023</v>
          </cell>
          <cell r="F27" t="str">
            <v xml:space="preserve">OPERATIVO </v>
          </cell>
          <cell r="G27">
            <v>9282</v>
          </cell>
        </row>
        <row r="28">
          <cell r="B28" t="str">
            <v>Profesional IX</v>
          </cell>
          <cell r="C28" t="str">
            <v xml:space="preserve">Profesional Ingeniero Metalurgista </v>
          </cell>
          <cell r="E28">
            <v>2023</v>
          </cell>
          <cell r="F28" t="str">
            <v xml:space="preserve">OPERATIVO </v>
          </cell>
          <cell r="G28">
            <v>9282</v>
          </cell>
        </row>
        <row r="29">
          <cell r="B29" t="str">
            <v>Profesional IX</v>
          </cell>
          <cell r="C29" t="str">
            <v xml:space="preserve">Profesional Ingeniero Minero </v>
          </cell>
          <cell r="E29">
            <v>2023</v>
          </cell>
          <cell r="F29" t="str">
            <v xml:space="preserve">OPERATIVO </v>
          </cell>
          <cell r="G29">
            <v>9282</v>
          </cell>
        </row>
        <row r="30">
          <cell r="B30" t="str">
            <v>Profesional IX</v>
          </cell>
          <cell r="C30" t="str">
            <v>Profesional en Prestamos y Cobranzas</v>
          </cell>
          <cell r="E30">
            <v>2023</v>
          </cell>
          <cell r="F30" t="str">
            <v xml:space="preserve">OPERATIVO </v>
          </cell>
          <cell r="G30">
            <v>9282</v>
          </cell>
        </row>
        <row r="31">
          <cell r="B31" t="str">
            <v>Tecnico V</v>
          </cell>
          <cell r="C31" t="str">
            <v>Tecnico en Prestamos y Cobranzas</v>
          </cell>
          <cell r="E31">
            <v>2023</v>
          </cell>
          <cell r="F31" t="str">
            <v xml:space="preserve">OPERATIVO </v>
          </cell>
          <cell r="G31">
            <v>7722</v>
          </cell>
        </row>
        <row r="32">
          <cell r="B32" t="str">
            <v>Tecnico V</v>
          </cell>
          <cell r="C32" t="str">
            <v xml:space="preserve">Tecnico Economista </v>
          </cell>
          <cell r="E32">
            <v>2023</v>
          </cell>
          <cell r="F32" t="str">
            <v xml:space="preserve">OPERATIVO </v>
          </cell>
          <cell r="G32">
            <v>7722</v>
          </cell>
        </row>
        <row r="33">
          <cell r="B33" t="str">
            <v>Auxiliar I</v>
          </cell>
          <cell r="C33" t="str">
            <v>Chofer Mensajero Operaciones Crediticias</v>
          </cell>
          <cell r="E33">
            <v>2023</v>
          </cell>
          <cell r="F33" t="str">
            <v xml:space="preserve">OPERATIVO </v>
          </cell>
          <cell r="G33">
            <v>4009</v>
          </cell>
        </row>
        <row r="34">
          <cell r="B34" t="str">
            <v xml:space="preserve">TOTAL </v>
          </cell>
          <cell r="G34">
            <v>229878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aReportesMultiples"/>
    </sheetNames>
    <sheetDataSet>
      <sheetData sheetId="0" refreshError="1">
        <row r="17">
          <cell r="V17">
            <v>942848.8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F90"/>
  <sheetViews>
    <sheetView workbookViewId="0"/>
  </sheetViews>
  <sheetFormatPr baseColWidth="10" defaultRowHeight="14.4"/>
  <cols>
    <col min="1" max="1" width="4.89453125" customWidth="1"/>
    <col min="2" max="2" width="30.41796875" customWidth="1"/>
    <col min="3" max="3" width="5.41796875" customWidth="1"/>
    <col min="4" max="5" width="7.41796875" customWidth="1"/>
    <col min="6" max="6" width="9.5234375" customWidth="1"/>
    <col min="7" max="8" width="4.89453125" customWidth="1"/>
    <col min="9" max="18" width="4.5234375" customWidth="1"/>
    <col min="19" max="20" width="7.5234375" customWidth="1"/>
    <col min="21" max="21" width="14" customWidth="1"/>
    <col min="22" max="22" width="13.41796875" hidden="1" customWidth="1"/>
    <col min="23" max="23" width="11.5234375" hidden="1" customWidth="1"/>
    <col min="24" max="24" width="11.68359375" hidden="1" customWidth="1"/>
    <col min="25" max="25" width="12.41796875" hidden="1" customWidth="1"/>
    <col min="26" max="26" width="16" hidden="1" customWidth="1"/>
    <col min="27" max="27" width="17.3125" style="53" hidden="1" customWidth="1"/>
    <col min="28" max="28" width="15.5234375" style="53" hidden="1" customWidth="1"/>
    <col min="29" max="32" width="0" hidden="1" customWidth="1"/>
  </cols>
  <sheetData>
    <row r="2" spans="1:28" s="1" customFormat="1" ht="51" customHeight="1">
      <c r="B2" s="337" t="s">
        <v>166</v>
      </c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337"/>
      <c r="P2" s="337"/>
      <c r="Q2" s="337"/>
      <c r="R2" s="337"/>
      <c r="S2" s="337"/>
      <c r="T2" s="337"/>
      <c r="U2" s="337"/>
      <c r="V2" s="337"/>
      <c r="W2" s="337"/>
      <c r="X2" s="337"/>
      <c r="Y2" s="337"/>
      <c r="Z2" s="337"/>
      <c r="AA2" s="56"/>
      <c r="AB2" s="56"/>
    </row>
    <row r="3" spans="1:28" s="1" customFormat="1">
      <c r="B3" s="2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AA3" s="56"/>
      <c r="AB3" s="56"/>
    </row>
    <row r="4" spans="1:28" s="1" customFormat="1">
      <c r="B4" s="4"/>
      <c r="C4" s="5"/>
      <c r="D4" s="5"/>
      <c r="E4" s="5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6"/>
      <c r="V4" s="338"/>
      <c r="W4" s="338"/>
      <c r="X4" s="338"/>
      <c r="Y4" s="338"/>
      <c r="AA4" s="56"/>
      <c r="AB4" s="56"/>
    </row>
    <row r="5" spans="1:28" s="1" customFormat="1" ht="13.35" customHeight="1">
      <c r="B5" s="332" t="s">
        <v>1</v>
      </c>
      <c r="C5" s="332" t="s">
        <v>2</v>
      </c>
      <c r="D5" s="339" t="s">
        <v>3</v>
      </c>
      <c r="E5" s="333" t="s">
        <v>4</v>
      </c>
      <c r="F5" s="332" t="s">
        <v>5</v>
      </c>
      <c r="G5" s="341" t="s">
        <v>6</v>
      </c>
      <c r="H5" s="342"/>
      <c r="I5" s="342"/>
      <c r="J5" s="342"/>
      <c r="K5" s="342"/>
      <c r="L5" s="342"/>
      <c r="M5" s="342"/>
      <c r="N5" s="342"/>
      <c r="O5" s="342"/>
      <c r="P5" s="342"/>
      <c r="Q5" s="342"/>
      <c r="R5" s="343"/>
      <c r="S5" s="332" t="s">
        <v>7</v>
      </c>
      <c r="T5" s="339" t="s">
        <v>8</v>
      </c>
      <c r="U5" s="332" t="s">
        <v>9</v>
      </c>
      <c r="V5" s="333" t="s">
        <v>10</v>
      </c>
      <c r="W5" s="333"/>
      <c r="X5" s="333"/>
      <c r="Y5" s="333"/>
      <c r="Z5" s="334" t="s">
        <v>50</v>
      </c>
      <c r="AA5" s="335" t="s">
        <v>51</v>
      </c>
      <c r="AB5" s="56"/>
    </row>
    <row r="6" spans="1:28" s="1" customFormat="1" ht="24.75" customHeight="1">
      <c r="B6" s="332"/>
      <c r="C6" s="332"/>
      <c r="D6" s="340"/>
      <c r="E6" s="333"/>
      <c r="F6" s="332"/>
      <c r="G6" s="135" t="s">
        <v>11</v>
      </c>
      <c r="H6" s="136" t="s">
        <v>12</v>
      </c>
      <c r="I6" s="136" t="s">
        <v>13</v>
      </c>
      <c r="J6" s="136" t="s">
        <v>14</v>
      </c>
      <c r="K6" s="136" t="s">
        <v>15</v>
      </c>
      <c r="L6" s="136" t="s">
        <v>16</v>
      </c>
      <c r="M6" s="136" t="s">
        <v>17</v>
      </c>
      <c r="N6" s="136" t="s">
        <v>18</v>
      </c>
      <c r="O6" s="136" t="s">
        <v>19</v>
      </c>
      <c r="P6" s="136" t="s">
        <v>20</v>
      </c>
      <c r="Q6" s="136" t="s">
        <v>21</v>
      </c>
      <c r="R6" s="136" t="s">
        <v>22</v>
      </c>
      <c r="S6" s="332"/>
      <c r="T6" s="340"/>
      <c r="U6" s="332"/>
      <c r="V6" s="137" t="s">
        <v>23</v>
      </c>
      <c r="W6" s="138" t="s">
        <v>24</v>
      </c>
      <c r="X6" s="138" t="s">
        <v>25</v>
      </c>
      <c r="Y6" s="138" t="s">
        <v>26</v>
      </c>
      <c r="Z6" s="334"/>
      <c r="AA6" s="335"/>
      <c r="AB6" s="56"/>
    </row>
    <row r="7" spans="1:28" s="1" customFormat="1">
      <c r="B7" s="4"/>
      <c r="C7" s="5"/>
      <c r="D7" s="5"/>
      <c r="E7" s="5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6"/>
      <c r="V7" s="6"/>
      <c r="W7" s="6"/>
      <c r="X7" s="6"/>
      <c r="Y7" s="6"/>
      <c r="Z7" s="8"/>
      <c r="AA7" s="56"/>
      <c r="AB7" s="56"/>
    </row>
    <row r="8" spans="1:28" s="1" customFormat="1">
      <c r="B8" s="139" t="s">
        <v>27</v>
      </c>
      <c r="C8" s="140"/>
      <c r="D8" s="140"/>
      <c r="E8" s="140"/>
      <c r="F8" s="141"/>
      <c r="G8" s="141"/>
      <c r="H8" s="141"/>
      <c r="I8" s="141"/>
      <c r="J8" s="141"/>
      <c r="K8" s="141"/>
      <c r="L8" s="141"/>
      <c r="M8" s="141"/>
      <c r="N8" s="141"/>
      <c r="O8" s="141"/>
      <c r="P8" s="141"/>
      <c r="Q8" s="141"/>
      <c r="R8" s="141"/>
      <c r="S8" s="141"/>
      <c r="T8" s="141"/>
      <c r="U8" s="141"/>
      <c r="V8" s="141"/>
      <c r="W8" s="141"/>
      <c r="X8" s="141"/>
      <c r="Y8" s="141"/>
      <c r="Z8" s="142"/>
      <c r="AA8" s="56"/>
      <c r="AB8" s="56"/>
    </row>
    <row r="9" spans="1:28" s="1" customFormat="1">
      <c r="B9" s="9"/>
      <c r="C9" s="10"/>
      <c r="D9" s="10"/>
      <c r="E9" s="10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2"/>
      <c r="AA9" s="56"/>
      <c r="AB9" s="56"/>
    </row>
    <row r="10" spans="1:28" s="1" customFormat="1" hidden="1">
      <c r="A10" s="1">
        <v>1</v>
      </c>
      <c r="B10" s="13" t="s">
        <v>28</v>
      </c>
      <c r="C10" s="14" t="s">
        <v>29</v>
      </c>
      <c r="D10" s="14">
        <v>2022</v>
      </c>
      <c r="E10" s="15" t="s">
        <v>30</v>
      </c>
      <c r="F10" s="16">
        <v>19535</v>
      </c>
      <c r="G10" s="17">
        <v>30</v>
      </c>
      <c r="H10" s="17">
        <v>30</v>
      </c>
      <c r="I10" s="17">
        <v>30</v>
      </c>
      <c r="J10" s="17">
        <v>30</v>
      </c>
      <c r="K10" s="17">
        <v>30</v>
      </c>
      <c r="L10" s="17">
        <v>30</v>
      </c>
      <c r="M10" s="17">
        <v>30</v>
      </c>
      <c r="N10" s="17">
        <v>30</v>
      </c>
      <c r="O10" s="17">
        <v>30</v>
      </c>
      <c r="P10" s="17">
        <v>30</v>
      </c>
      <c r="Q10" s="17">
        <v>30</v>
      </c>
      <c r="R10" s="17">
        <v>30</v>
      </c>
      <c r="S10" s="15">
        <f>SUM(G10:R10)</f>
        <v>360</v>
      </c>
      <c r="T10" s="18">
        <f>+S10/30</f>
        <v>12</v>
      </c>
      <c r="U10" s="16">
        <f>ROUND(PRODUCT(F10*T10),0)</f>
        <v>234420</v>
      </c>
      <c r="V10" s="16">
        <f>U10*0.1</f>
        <v>23442</v>
      </c>
      <c r="W10" s="16">
        <f>U10*0.0171</f>
        <v>4008.5820000000003</v>
      </c>
      <c r="X10" s="16">
        <f>U10*0.03</f>
        <v>7032.5999999999995</v>
      </c>
      <c r="Y10" s="19">
        <f>U10*0.02</f>
        <v>4688.4000000000005</v>
      </c>
      <c r="Z10" s="17">
        <f>SUM(U10:Y10)</f>
        <v>273591.58199999999</v>
      </c>
      <c r="AA10" s="56">
        <f>+F10*S10/360</f>
        <v>19535</v>
      </c>
      <c r="AB10" s="56">
        <f>+AA10+Z10</f>
        <v>293126.58199999999</v>
      </c>
    </row>
    <row r="11" spans="1:28" s="1" customFormat="1" hidden="1">
      <c r="B11" s="143" t="s">
        <v>31</v>
      </c>
      <c r="C11" s="144"/>
      <c r="D11" s="144"/>
      <c r="E11" s="145"/>
      <c r="F11" s="146"/>
      <c r="G11" s="146"/>
      <c r="H11" s="146"/>
      <c r="I11" s="146"/>
      <c r="J11" s="146"/>
      <c r="K11" s="146"/>
      <c r="L11" s="146"/>
      <c r="M11" s="146"/>
      <c r="N11" s="146"/>
      <c r="O11" s="146"/>
      <c r="P11" s="146"/>
      <c r="Q11" s="146"/>
      <c r="R11" s="146"/>
      <c r="S11" s="145"/>
      <c r="T11" s="147"/>
      <c r="U11" s="148"/>
      <c r="V11" s="149"/>
      <c r="W11" s="149"/>
      <c r="X11" s="149"/>
      <c r="Y11" s="150"/>
      <c r="Z11" s="149"/>
      <c r="AA11" s="56"/>
      <c r="AB11" s="56">
        <f t="shared" ref="AB11:AB43" si="0">+AA11+Z11</f>
        <v>0</v>
      </c>
    </row>
    <row r="12" spans="1:28" s="1" customFormat="1" ht="20.399999999999999" hidden="1">
      <c r="A12" s="1">
        <f>A10+1</f>
        <v>2</v>
      </c>
      <c r="B12" s="13" t="s">
        <v>209</v>
      </c>
      <c r="C12" s="14" t="s">
        <v>32</v>
      </c>
      <c r="D12" s="14">
        <v>2022</v>
      </c>
      <c r="E12" s="15" t="s">
        <v>30</v>
      </c>
      <c r="F12" s="16">
        <v>10693</v>
      </c>
      <c r="G12" s="17">
        <v>26</v>
      </c>
      <c r="H12" s="17">
        <v>30</v>
      </c>
      <c r="I12" s="17">
        <v>30</v>
      </c>
      <c r="J12" s="17">
        <v>30</v>
      </c>
      <c r="K12" s="17">
        <v>30</v>
      </c>
      <c r="L12" s="17">
        <v>30</v>
      </c>
      <c r="M12" s="17">
        <v>30</v>
      </c>
      <c r="N12" s="17">
        <v>30</v>
      </c>
      <c r="O12" s="17">
        <v>30</v>
      </c>
      <c r="P12" s="17">
        <v>30</v>
      </c>
      <c r="Q12" s="17">
        <v>30</v>
      </c>
      <c r="R12" s="17">
        <v>30</v>
      </c>
      <c r="S12" s="15">
        <f>SUM(G12:R12)</f>
        <v>356</v>
      </c>
      <c r="T12" s="18">
        <f t="shared" ref="T12:T29" si="1">+S12/30</f>
        <v>11.866666666666667</v>
      </c>
      <c r="U12" s="16">
        <f>ROUND(PRODUCT(F12*T12),0)</f>
        <v>126890</v>
      </c>
      <c r="V12" s="17">
        <f>U12*0.1</f>
        <v>12689</v>
      </c>
      <c r="W12" s="17">
        <f>U12*0.0171</f>
        <v>2169.819</v>
      </c>
      <c r="X12" s="17">
        <f>U12*0.03</f>
        <v>3806.7</v>
      </c>
      <c r="Y12" s="19">
        <f>U12*0.02</f>
        <v>2537.8000000000002</v>
      </c>
      <c r="Z12" s="17">
        <f>SUM(U12:Y12)</f>
        <v>148093.31899999999</v>
      </c>
      <c r="AA12" s="56">
        <f>+F12*S12/360</f>
        <v>10574.18888888889</v>
      </c>
      <c r="AB12" s="56">
        <f t="shared" si="0"/>
        <v>158667.50788888888</v>
      </c>
    </row>
    <row r="13" spans="1:28" s="1" customFormat="1" ht="30.75" hidden="1" customHeight="1">
      <c r="A13" s="1">
        <f>A12+1</f>
        <v>3</v>
      </c>
      <c r="B13" s="13" t="s">
        <v>193</v>
      </c>
      <c r="C13" s="14" t="s">
        <v>32</v>
      </c>
      <c r="D13" s="14">
        <v>2022</v>
      </c>
      <c r="E13" s="15" t="s">
        <v>30</v>
      </c>
      <c r="F13" s="16">
        <v>4529</v>
      </c>
      <c r="G13" s="17">
        <v>0</v>
      </c>
      <c r="H13" s="17">
        <v>30</v>
      </c>
      <c r="I13" s="17">
        <v>30</v>
      </c>
      <c r="J13" s="17">
        <v>30</v>
      </c>
      <c r="K13" s="17">
        <v>30</v>
      </c>
      <c r="L13" s="17">
        <v>30</v>
      </c>
      <c r="M13" s="17">
        <v>30</v>
      </c>
      <c r="N13" s="17">
        <v>30</v>
      </c>
      <c r="O13" s="17">
        <v>30</v>
      </c>
      <c r="P13" s="17">
        <v>30</v>
      </c>
      <c r="Q13" s="17">
        <v>30</v>
      </c>
      <c r="R13" s="17">
        <v>30</v>
      </c>
      <c r="S13" s="15">
        <f t="shared" ref="S13:S42" si="2">SUM(G13:R13)</f>
        <v>330</v>
      </c>
      <c r="T13" s="18">
        <f t="shared" si="1"/>
        <v>11</v>
      </c>
      <c r="U13" s="16">
        <f>ROUND(PRODUCT(F13*T13),0)</f>
        <v>49819</v>
      </c>
      <c r="V13" s="17">
        <f>U13*0.1</f>
        <v>4981.9000000000005</v>
      </c>
      <c r="W13" s="17">
        <f>U13*0.0171</f>
        <v>851.9049</v>
      </c>
      <c r="X13" s="17">
        <f>U13*0.03</f>
        <v>1494.57</v>
      </c>
      <c r="Y13" s="19">
        <f>U13*0.02</f>
        <v>996.38</v>
      </c>
      <c r="Z13" s="17">
        <f>SUM(U13:Y13)</f>
        <v>58143.7549</v>
      </c>
      <c r="AA13" s="56">
        <f>+F13*S13/360</f>
        <v>4151.583333333333</v>
      </c>
      <c r="AB13" s="56">
        <f t="shared" si="0"/>
        <v>62295.338233333336</v>
      </c>
    </row>
    <row r="14" spans="1:28" s="1" customFormat="1" hidden="1">
      <c r="A14" s="1">
        <f>A13+1</f>
        <v>4</v>
      </c>
      <c r="B14" s="13" t="s">
        <v>195</v>
      </c>
      <c r="C14" s="27" t="s">
        <v>32</v>
      </c>
      <c r="D14" s="14">
        <v>2022</v>
      </c>
      <c r="E14" s="28" t="s">
        <v>30</v>
      </c>
      <c r="F14" s="29">
        <v>5494</v>
      </c>
      <c r="G14" s="30">
        <v>0</v>
      </c>
      <c r="H14" s="30">
        <v>0</v>
      </c>
      <c r="I14" s="30">
        <v>0</v>
      </c>
      <c r="J14" s="30">
        <v>0</v>
      </c>
      <c r="K14" s="30">
        <v>30</v>
      </c>
      <c r="L14" s="30">
        <v>30</v>
      </c>
      <c r="M14" s="30">
        <v>30</v>
      </c>
      <c r="N14" s="30">
        <v>30</v>
      </c>
      <c r="O14" s="30">
        <v>30</v>
      </c>
      <c r="P14" s="30">
        <v>30</v>
      </c>
      <c r="Q14" s="30">
        <v>30</v>
      </c>
      <c r="R14" s="30">
        <v>30</v>
      </c>
      <c r="S14" s="15">
        <f t="shared" si="2"/>
        <v>240</v>
      </c>
      <c r="T14" s="18">
        <f t="shared" si="1"/>
        <v>8</v>
      </c>
      <c r="U14" s="16">
        <f>ROUND(PRODUCT(F14*T14),0)</f>
        <v>43952</v>
      </c>
      <c r="V14" s="17">
        <f>U14*0.1</f>
        <v>4395.2</v>
      </c>
      <c r="W14" s="17">
        <f>U14*0.0171</f>
        <v>751.57920000000001</v>
      </c>
      <c r="X14" s="17">
        <f>U14*0.03</f>
        <v>1318.56</v>
      </c>
      <c r="Y14" s="19">
        <f>U14*0.02</f>
        <v>879.04</v>
      </c>
      <c r="Z14" s="17">
        <f>SUM(U14:Y14)</f>
        <v>51296.379199999996</v>
      </c>
      <c r="AA14" s="56">
        <f>+F14*S14/360</f>
        <v>3662.6666666666665</v>
      </c>
      <c r="AB14" s="56">
        <f t="shared" si="0"/>
        <v>54959.04586666666</v>
      </c>
    </row>
    <row r="15" spans="1:28" s="1" customFormat="1" hidden="1">
      <c r="B15" s="151" t="s">
        <v>34</v>
      </c>
      <c r="C15" s="152"/>
      <c r="D15" s="152"/>
      <c r="E15" s="152"/>
      <c r="F15" s="152"/>
      <c r="G15" s="152"/>
      <c r="H15" s="152"/>
      <c r="I15" s="152"/>
      <c r="J15" s="152"/>
      <c r="K15" s="152"/>
      <c r="L15" s="152"/>
      <c r="M15" s="152"/>
      <c r="N15" s="152"/>
      <c r="O15" s="152"/>
      <c r="P15" s="152"/>
      <c r="Q15" s="152"/>
      <c r="R15" s="152"/>
      <c r="S15" s="152"/>
      <c r="T15" s="147"/>
      <c r="U15" s="148"/>
      <c r="V15" s="152"/>
      <c r="W15" s="152"/>
      <c r="X15" s="152"/>
      <c r="Y15" s="152"/>
      <c r="Z15" s="149"/>
      <c r="AA15" s="56"/>
      <c r="AB15" s="56">
        <f t="shared" si="0"/>
        <v>0</v>
      </c>
    </row>
    <row r="16" spans="1:28" s="1" customFormat="1" hidden="1">
      <c r="A16" s="1">
        <f>A14+1</f>
        <v>5</v>
      </c>
      <c r="B16" s="13" t="s">
        <v>196</v>
      </c>
      <c r="C16" s="14" t="s">
        <v>32</v>
      </c>
      <c r="D16" s="14">
        <v>2022</v>
      </c>
      <c r="E16" s="15" t="s">
        <v>30</v>
      </c>
      <c r="F16" s="29">
        <v>7722</v>
      </c>
      <c r="G16" s="17">
        <v>26</v>
      </c>
      <c r="H16" s="17">
        <v>30</v>
      </c>
      <c r="I16" s="17">
        <v>30</v>
      </c>
      <c r="J16" s="17">
        <v>0</v>
      </c>
      <c r="K16" s="17">
        <v>0</v>
      </c>
      <c r="L16" s="17">
        <v>0</v>
      </c>
      <c r="M16" s="17">
        <v>0</v>
      </c>
      <c r="N16" s="17">
        <v>0</v>
      </c>
      <c r="O16" s="17">
        <v>0</v>
      </c>
      <c r="P16" s="17">
        <v>0</v>
      </c>
      <c r="Q16" s="17">
        <v>30</v>
      </c>
      <c r="R16" s="17">
        <v>30</v>
      </c>
      <c r="S16" s="15">
        <f t="shared" si="2"/>
        <v>146</v>
      </c>
      <c r="T16" s="18">
        <f t="shared" si="1"/>
        <v>4.8666666666666663</v>
      </c>
      <c r="U16" s="16">
        <f>ROUND(PRODUCT(F16*T16),0)</f>
        <v>37580</v>
      </c>
      <c r="V16" s="17">
        <f t="shared" ref="V16:V22" si="3">U16*0.1</f>
        <v>3758</v>
      </c>
      <c r="W16" s="17">
        <f t="shared" ref="W16:W22" si="4">U16*0.0171</f>
        <v>642.61800000000005</v>
      </c>
      <c r="X16" s="17">
        <f t="shared" ref="X16:X22" si="5">U16*0.03</f>
        <v>1127.3999999999999</v>
      </c>
      <c r="Y16" s="19">
        <f t="shared" ref="Y16:Y22" si="6">U16*0.02</f>
        <v>751.6</v>
      </c>
      <c r="Z16" s="17">
        <f t="shared" ref="Z16:Z22" si="7">SUM(U16:Y16)</f>
        <v>43859.618000000002</v>
      </c>
      <c r="AA16" s="56"/>
      <c r="AB16" s="56">
        <f t="shared" si="0"/>
        <v>43859.618000000002</v>
      </c>
    </row>
    <row r="17" spans="1:32" s="1" customFormat="1" ht="21">
      <c r="B17" s="143" t="s">
        <v>167</v>
      </c>
      <c r="C17" s="144"/>
      <c r="D17" s="144"/>
      <c r="E17" s="145"/>
      <c r="F17" s="146"/>
      <c r="G17" s="149"/>
      <c r="H17" s="149"/>
      <c r="I17" s="149"/>
      <c r="J17" s="149"/>
      <c r="K17" s="149"/>
      <c r="L17" s="149"/>
      <c r="M17" s="149"/>
      <c r="N17" s="149"/>
      <c r="O17" s="149"/>
      <c r="P17" s="149"/>
      <c r="Q17" s="149"/>
      <c r="R17" s="149"/>
      <c r="S17" s="145"/>
      <c r="T17" s="147"/>
      <c r="U17" s="146">
        <f>U20+U22</f>
        <v>69060</v>
      </c>
      <c r="V17" s="149">
        <f t="shared" si="3"/>
        <v>6906</v>
      </c>
      <c r="W17" s="149">
        <f t="shared" si="4"/>
        <v>1180.9259999999999</v>
      </c>
      <c r="X17" s="149">
        <f t="shared" si="5"/>
        <v>2071.7999999999997</v>
      </c>
      <c r="Y17" s="150">
        <f t="shared" si="6"/>
        <v>1381.2</v>
      </c>
      <c r="Z17" s="149">
        <f t="shared" si="7"/>
        <v>80599.926000000007</v>
      </c>
      <c r="AA17" s="56"/>
      <c r="AB17" s="56">
        <f t="shared" si="0"/>
        <v>80599.926000000007</v>
      </c>
    </row>
    <row r="18" spans="1:32" s="1" customFormat="1" ht="26.25" hidden="1" customHeight="1">
      <c r="A18" s="1">
        <f>A16+1</f>
        <v>6</v>
      </c>
      <c r="B18" s="13" t="s">
        <v>210</v>
      </c>
      <c r="C18" s="14" t="s">
        <v>32</v>
      </c>
      <c r="D18" s="14">
        <v>2022</v>
      </c>
      <c r="E18" s="15" t="s">
        <v>30</v>
      </c>
      <c r="F18" s="16">
        <v>10693</v>
      </c>
      <c r="G18" s="17">
        <v>26</v>
      </c>
      <c r="H18" s="17">
        <v>30</v>
      </c>
      <c r="I18" s="17">
        <v>30</v>
      </c>
      <c r="J18" s="17">
        <v>30</v>
      </c>
      <c r="K18" s="17">
        <v>30</v>
      </c>
      <c r="L18" s="17">
        <v>30</v>
      </c>
      <c r="M18" s="17">
        <v>30</v>
      </c>
      <c r="N18" s="17">
        <v>30</v>
      </c>
      <c r="O18" s="17">
        <v>30</v>
      </c>
      <c r="P18" s="17">
        <v>30</v>
      </c>
      <c r="Q18" s="17">
        <v>30</v>
      </c>
      <c r="R18" s="17">
        <v>30</v>
      </c>
      <c r="S18" s="15">
        <f t="shared" si="2"/>
        <v>356</v>
      </c>
      <c r="T18" s="18">
        <f>+S18/30</f>
        <v>11.866666666666667</v>
      </c>
      <c r="U18" s="16">
        <f>ROUND(PRODUCT(F18*T18),0)</f>
        <v>126890</v>
      </c>
      <c r="V18" s="17">
        <f t="shared" si="3"/>
        <v>12689</v>
      </c>
      <c r="W18" s="17">
        <f t="shared" si="4"/>
        <v>2169.819</v>
      </c>
      <c r="X18" s="17">
        <f t="shared" si="5"/>
        <v>3806.7</v>
      </c>
      <c r="Y18" s="19">
        <f t="shared" si="6"/>
        <v>2537.8000000000002</v>
      </c>
      <c r="Z18" s="17">
        <f t="shared" si="7"/>
        <v>148093.31899999999</v>
      </c>
      <c r="AA18" s="56">
        <f>+F18*S18/360</f>
        <v>10574.18888888889</v>
      </c>
      <c r="AB18" s="56">
        <f>+AA18+Z18</f>
        <v>158667.50788888888</v>
      </c>
    </row>
    <row r="19" spans="1:32" s="1" customFormat="1" ht="26.25" hidden="1" customHeight="1">
      <c r="A19" s="1">
        <f>A18+1</f>
        <v>7</v>
      </c>
      <c r="B19" s="13" t="s">
        <v>208</v>
      </c>
      <c r="C19" s="14" t="s">
        <v>32</v>
      </c>
      <c r="D19" s="14">
        <v>2022</v>
      </c>
      <c r="E19" s="15" t="s">
        <v>30</v>
      </c>
      <c r="F19" s="16">
        <v>6906</v>
      </c>
      <c r="G19" s="17">
        <v>0</v>
      </c>
      <c r="H19" s="17">
        <v>0</v>
      </c>
      <c r="I19" s="17">
        <v>0</v>
      </c>
      <c r="J19" s="17">
        <v>0</v>
      </c>
      <c r="K19" s="17">
        <v>0</v>
      </c>
      <c r="L19" s="17">
        <v>0</v>
      </c>
      <c r="M19" s="17">
        <v>0</v>
      </c>
      <c r="N19" s="17">
        <v>30</v>
      </c>
      <c r="O19" s="17">
        <v>30</v>
      </c>
      <c r="P19" s="17">
        <v>30</v>
      </c>
      <c r="Q19" s="17">
        <v>30</v>
      </c>
      <c r="R19" s="17">
        <v>30</v>
      </c>
      <c r="S19" s="15">
        <f t="shared" si="2"/>
        <v>150</v>
      </c>
      <c r="T19" s="18">
        <f>+S19/30</f>
        <v>5</v>
      </c>
      <c r="U19" s="16">
        <f>ROUND(PRODUCT(F19*T19),0)</f>
        <v>34530</v>
      </c>
      <c r="V19" s="17">
        <f t="shared" si="3"/>
        <v>3453</v>
      </c>
      <c r="W19" s="17">
        <f t="shared" si="4"/>
        <v>590.46299999999997</v>
      </c>
      <c r="X19" s="17">
        <f t="shared" si="5"/>
        <v>1035.8999999999999</v>
      </c>
      <c r="Y19" s="19">
        <f t="shared" si="6"/>
        <v>690.6</v>
      </c>
      <c r="Z19" s="17">
        <f t="shared" si="7"/>
        <v>40299.963000000003</v>
      </c>
      <c r="AA19" s="56">
        <f>+F19*S19/360</f>
        <v>2877.5</v>
      </c>
      <c r="AB19" s="56"/>
    </row>
    <row r="20" spans="1:32" s="1" customFormat="1" ht="26.25" customHeight="1">
      <c r="A20" s="1">
        <f>A19+1</f>
        <v>8</v>
      </c>
      <c r="B20" s="159" t="s">
        <v>175</v>
      </c>
      <c r="C20" s="160" t="s">
        <v>207</v>
      </c>
      <c r="D20" s="160">
        <v>2022</v>
      </c>
      <c r="E20" s="161" t="s">
        <v>30</v>
      </c>
      <c r="F20" s="162">
        <v>6906</v>
      </c>
      <c r="G20" s="163">
        <v>30</v>
      </c>
      <c r="H20" s="163">
        <v>30</v>
      </c>
      <c r="I20" s="163">
        <v>30</v>
      </c>
      <c r="J20" s="163">
        <v>30</v>
      </c>
      <c r="K20" s="163">
        <v>30</v>
      </c>
      <c r="L20" s="163">
        <v>0</v>
      </c>
      <c r="M20" s="163">
        <v>0</v>
      </c>
      <c r="N20" s="163">
        <v>0</v>
      </c>
      <c r="O20" s="163">
        <v>0</v>
      </c>
      <c r="P20" s="163">
        <v>0</v>
      </c>
      <c r="Q20" s="163">
        <v>0</v>
      </c>
      <c r="R20" s="163">
        <v>0</v>
      </c>
      <c r="S20" s="161">
        <f t="shared" si="2"/>
        <v>150</v>
      </c>
      <c r="T20" s="164">
        <f>+S20/30</f>
        <v>5</v>
      </c>
      <c r="U20" s="162">
        <f>ROUND(PRODUCT(F20*T20),0)</f>
        <v>34530</v>
      </c>
      <c r="V20" s="163">
        <f t="shared" si="3"/>
        <v>3453</v>
      </c>
      <c r="W20" s="163">
        <f t="shared" si="4"/>
        <v>590.46299999999997</v>
      </c>
      <c r="X20" s="163">
        <f t="shared" si="5"/>
        <v>1035.8999999999999</v>
      </c>
      <c r="Y20" s="165">
        <f t="shared" si="6"/>
        <v>690.6</v>
      </c>
      <c r="Z20" s="163">
        <f t="shared" si="7"/>
        <v>40299.963000000003</v>
      </c>
      <c r="AA20" s="56">
        <f>+F20*S20/360</f>
        <v>2877.5</v>
      </c>
      <c r="AB20" s="56"/>
    </row>
    <row r="21" spans="1:32" s="1" customFormat="1" ht="26.25" hidden="1" customHeight="1">
      <c r="A21" s="1">
        <f>A20+1</f>
        <v>9</v>
      </c>
      <c r="B21" s="13" t="s">
        <v>176</v>
      </c>
      <c r="C21" s="14" t="s">
        <v>32</v>
      </c>
      <c r="D21" s="14">
        <v>2022</v>
      </c>
      <c r="E21" s="15" t="s">
        <v>30</v>
      </c>
      <c r="F21" s="16">
        <v>6906</v>
      </c>
      <c r="G21" s="17">
        <v>0</v>
      </c>
      <c r="H21" s="17">
        <v>0</v>
      </c>
      <c r="I21" s="17">
        <v>0</v>
      </c>
      <c r="J21" s="17">
        <v>0</v>
      </c>
      <c r="K21" s="17">
        <v>0</v>
      </c>
      <c r="L21" s="17">
        <v>0</v>
      </c>
      <c r="M21" s="17">
        <v>0</v>
      </c>
      <c r="N21" s="17">
        <v>30</v>
      </c>
      <c r="O21" s="17">
        <v>30</v>
      </c>
      <c r="P21" s="17">
        <v>30</v>
      </c>
      <c r="Q21" s="17">
        <v>30</v>
      </c>
      <c r="R21" s="17">
        <v>30</v>
      </c>
      <c r="S21" s="15">
        <f t="shared" si="2"/>
        <v>150</v>
      </c>
      <c r="T21" s="18">
        <f>+S21/30</f>
        <v>5</v>
      </c>
      <c r="U21" s="16">
        <f>ROUND(PRODUCT(F21*T21),0)</f>
        <v>34530</v>
      </c>
      <c r="V21" s="17">
        <f t="shared" si="3"/>
        <v>3453</v>
      </c>
      <c r="W21" s="17">
        <f t="shared" si="4"/>
        <v>590.46299999999997</v>
      </c>
      <c r="X21" s="17">
        <f t="shared" si="5"/>
        <v>1035.8999999999999</v>
      </c>
      <c r="Y21" s="19">
        <f t="shared" si="6"/>
        <v>690.6</v>
      </c>
      <c r="Z21" s="17">
        <f t="shared" si="7"/>
        <v>40299.963000000003</v>
      </c>
      <c r="AA21" s="56">
        <f>+F21*S21/360</f>
        <v>2877.5</v>
      </c>
      <c r="AB21" s="56"/>
    </row>
    <row r="22" spans="1:32" s="1" customFormat="1" ht="26.25" customHeight="1">
      <c r="A22" s="1">
        <f>A21+1</f>
        <v>10</v>
      </c>
      <c r="B22" s="159" t="s">
        <v>177</v>
      </c>
      <c r="C22" s="160" t="s">
        <v>207</v>
      </c>
      <c r="D22" s="160">
        <v>2022</v>
      </c>
      <c r="E22" s="161" t="s">
        <v>30</v>
      </c>
      <c r="F22" s="162">
        <v>6906</v>
      </c>
      <c r="G22" s="163">
        <v>0</v>
      </c>
      <c r="H22" s="163">
        <v>0</v>
      </c>
      <c r="I22" s="163">
        <v>0</v>
      </c>
      <c r="J22" s="163">
        <v>0</v>
      </c>
      <c r="K22" s="163">
        <v>0</v>
      </c>
      <c r="L22" s="163">
        <v>0</v>
      </c>
      <c r="M22" s="163">
        <v>0</v>
      </c>
      <c r="N22" s="163">
        <v>30</v>
      </c>
      <c r="O22" s="163">
        <v>30</v>
      </c>
      <c r="P22" s="163">
        <v>30</v>
      </c>
      <c r="Q22" s="163">
        <v>30</v>
      </c>
      <c r="R22" s="163">
        <v>30</v>
      </c>
      <c r="S22" s="161">
        <f t="shared" si="2"/>
        <v>150</v>
      </c>
      <c r="T22" s="164">
        <f>+S22/30</f>
        <v>5</v>
      </c>
      <c r="U22" s="162">
        <f>ROUND(PRODUCT(F22*T22),0)</f>
        <v>34530</v>
      </c>
      <c r="V22" s="163">
        <f t="shared" si="3"/>
        <v>3453</v>
      </c>
      <c r="W22" s="163">
        <f t="shared" si="4"/>
        <v>590.46299999999997</v>
      </c>
      <c r="X22" s="163">
        <f t="shared" si="5"/>
        <v>1035.8999999999999</v>
      </c>
      <c r="Y22" s="165">
        <f t="shared" si="6"/>
        <v>690.6</v>
      </c>
      <c r="Z22" s="163">
        <f t="shared" si="7"/>
        <v>40299.963000000003</v>
      </c>
      <c r="AA22" s="56">
        <f>+F22*S22/360</f>
        <v>2877.5</v>
      </c>
      <c r="AB22" s="56"/>
    </row>
    <row r="23" spans="1:32" s="1" customFormat="1" ht="25.5" hidden="1" customHeight="1">
      <c r="B23" s="143" t="s">
        <v>35</v>
      </c>
      <c r="C23" s="144"/>
      <c r="D23" s="144"/>
      <c r="E23" s="145"/>
      <c r="F23" s="146"/>
      <c r="G23" s="149"/>
      <c r="H23" s="146"/>
      <c r="I23" s="146"/>
      <c r="J23" s="146"/>
      <c r="K23" s="146"/>
      <c r="L23" s="146"/>
      <c r="M23" s="146"/>
      <c r="N23" s="146"/>
      <c r="O23" s="146"/>
      <c r="P23" s="146"/>
      <c r="Q23" s="146"/>
      <c r="R23" s="146"/>
      <c r="S23" s="145"/>
      <c r="T23" s="147"/>
      <c r="U23" s="148"/>
      <c r="V23" s="149"/>
      <c r="W23" s="149"/>
      <c r="X23" s="149"/>
      <c r="Y23" s="150"/>
      <c r="Z23" s="149"/>
      <c r="AA23" s="56"/>
      <c r="AB23" s="56">
        <f t="shared" si="0"/>
        <v>0</v>
      </c>
    </row>
    <row r="24" spans="1:32" s="1" customFormat="1" ht="26.25" hidden="1" customHeight="1">
      <c r="A24" s="1">
        <f>A22+1</f>
        <v>11</v>
      </c>
      <c r="B24" s="13" t="s">
        <v>211</v>
      </c>
      <c r="C24" s="14" t="s">
        <v>32</v>
      </c>
      <c r="D24" s="14">
        <v>2022</v>
      </c>
      <c r="E24" s="15" t="s">
        <v>30</v>
      </c>
      <c r="F24" s="16">
        <v>10693</v>
      </c>
      <c r="G24" s="17">
        <v>26</v>
      </c>
      <c r="H24" s="17">
        <v>30</v>
      </c>
      <c r="I24" s="17">
        <v>30</v>
      </c>
      <c r="J24" s="17">
        <v>30</v>
      </c>
      <c r="K24" s="17">
        <v>30</v>
      </c>
      <c r="L24" s="17">
        <v>30</v>
      </c>
      <c r="M24" s="17">
        <v>30</v>
      </c>
      <c r="N24" s="17">
        <v>30</v>
      </c>
      <c r="O24" s="17">
        <v>30</v>
      </c>
      <c r="P24" s="17">
        <v>30</v>
      </c>
      <c r="Q24" s="17">
        <v>30</v>
      </c>
      <c r="R24" s="17">
        <v>30</v>
      </c>
      <c r="S24" s="15">
        <f t="shared" si="2"/>
        <v>356</v>
      </c>
      <c r="T24" s="18">
        <f t="shared" si="1"/>
        <v>11.866666666666667</v>
      </c>
      <c r="U24" s="16">
        <f t="shared" ref="U24:U29" si="8">ROUND(PRODUCT(F24*T24),0)</f>
        <v>126890</v>
      </c>
      <c r="V24" s="17">
        <f t="shared" ref="V24:V30" si="9">U24*0.1</f>
        <v>12689</v>
      </c>
      <c r="W24" s="17">
        <f t="shared" ref="W24:W30" si="10">U24*0.0171</f>
        <v>2169.819</v>
      </c>
      <c r="X24" s="17">
        <f t="shared" ref="X24:X30" si="11">U24*0.03</f>
        <v>3806.7</v>
      </c>
      <c r="Y24" s="19">
        <f t="shared" ref="Y24:Y30" si="12">U24*0.02</f>
        <v>2537.8000000000002</v>
      </c>
      <c r="Z24" s="17">
        <f t="shared" ref="Z24:Z30" si="13">SUM(U24:Y24)</f>
        <v>148093.31899999999</v>
      </c>
      <c r="AA24" s="56">
        <f t="shared" ref="AA24:AA29" si="14">+F24*S24/360</f>
        <v>10574.18888888889</v>
      </c>
      <c r="AB24" s="56">
        <f t="shared" si="0"/>
        <v>158667.50788888888</v>
      </c>
    </row>
    <row r="25" spans="1:32" s="1" customFormat="1" ht="29.25" hidden="1" customHeight="1">
      <c r="A25" s="1">
        <f>A24+1</f>
        <v>12</v>
      </c>
      <c r="B25" s="13" t="s">
        <v>215</v>
      </c>
      <c r="C25" s="14" t="s">
        <v>32</v>
      </c>
      <c r="D25" s="14">
        <v>2022</v>
      </c>
      <c r="E25" s="15" t="s">
        <v>30</v>
      </c>
      <c r="F25" s="16">
        <v>9282</v>
      </c>
      <c r="G25" s="17">
        <v>26</v>
      </c>
      <c r="H25" s="17">
        <v>30</v>
      </c>
      <c r="I25" s="17">
        <v>30</v>
      </c>
      <c r="J25" s="17">
        <v>30</v>
      </c>
      <c r="K25" s="17">
        <v>30</v>
      </c>
      <c r="L25" s="17">
        <v>30</v>
      </c>
      <c r="M25" s="17">
        <v>30</v>
      </c>
      <c r="N25" s="17">
        <v>30</v>
      </c>
      <c r="O25" s="17">
        <v>30</v>
      </c>
      <c r="P25" s="17">
        <v>30</v>
      </c>
      <c r="Q25" s="17">
        <v>30</v>
      </c>
      <c r="R25" s="17">
        <v>30</v>
      </c>
      <c r="S25" s="15">
        <f t="shared" si="2"/>
        <v>356</v>
      </c>
      <c r="T25" s="18">
        <f t="shared" si="1"/>
        <v>11.866666666666667</v>
      </c>
      <c r="U25" s="16">
        <f t="shared" si="8"/>
        <v>110146</v>
      </c>
      <c r="V25" s="17">
        <f t="shared" si="9"/>
        <v>11014.6</v>
      </c>
      <c r="W25" s="17">
        <f t="shared" si="10"/>
        <v>1883.4966000000002</v>
      </c>
      <c r="X25" s="17">
        <f t="shared" si="11"/>
        <v>3304.3799999999997</v>
      </c>
      <c r="Y25" s="19">
        <f t="shared" si="12"/>
        <v>2202.92</v>
      </c>
      <c r="Z25" s="17">
        <f t="shared" si="13"/>
        <v>128551.39660000001</v>
      </c>
      <c r="AA25" s="56">
        <f t="shared" si="14"/>
        <v>9178.8666666666668</v>
      </c>
      <c r="AB25" s="56">
        <f t="shared" si="0"/>
        <v>137730.26326666668</v>
      </c>
    </row>
    <row r="26" spans="1:32" s="1" customFormat="1" ht="21" hidden="1" customHeight="1">
      <c r="A26" s="1">
        <f>A25+1</f>
        <v>13</v>
      </c>
      <c r="B26" s="13" t="s">
        <v>200</v>
      </c>
      <c r="C26" s="14" t="s">
        <v>32</v>
      </c>
      <c r="D26" s="14">
        <v>2022</v>
      </c>
      <c r="E26" s="15" t="s">
        <v>30</v>
      </c>
      <c r="F26" s="16">
        <v>4529</v>
      </c>
      <c r="G26" s="17">
        <v>0</v>
      </c>
      <c r="H26" s="17">
        <v>20</v>
      </c>
      <c r="I26" s="17">
        <v>30</v>
      </c>
      <c r="J26" s="30">
        <v>30</v>
      </c>
      <c r="K26" s="30">
        <v>30</v>
      </c>
      <c r="L26" s="30">
        <v>30</v>
      </c>
      <c r="M26" s="17">
        <v>30</v>
      </c>
      <c r="N26" s="17">
        <v>30</v>
      </c>
      <c r="O26" s="17">
        <v>30</v>
      </c>
      <c r="P26" s="17">
        <v>30</v>
      </c>
      <c r="Q26" s="17">
        <v>30</v>
      </c>
      <c r="R26" s="17">
        <v>30</v>
      </c>
      <c r="S26" s="15">
        <f t="shared" si="2"/>
        <v>320</v>
      </c>
      <c r="T26" s="18">
        <f t="shared" si="1"/>
        <v>10.666666666666666</v>
      </c>
      <c r="U26" s="16">
        <f t="shared" si="8"/>
        <v>48309</v>
      </c>
      <c r="V26" s="17">
        <f t="shared" si="9"/>
        <v>4830.9000000000005</v>
      </c>
      <c r="W26" s="17">
        <f t="shared" si="10"/>
        <v>826.08390000000009</v>
      </c>
      <c r="X26" s="17">
        <f t="shared" si="11"/>
        <v>1449.27</v>
      </c>
      <c r="Y26" s="19">
        <f t="shared" si="12"/>
        <v>966.18000000000006</v>
      </c>
      <c r="Z26" s="17">
        <f t="shared" si="13"/>
        <v>56381.433899999996</v>
      </c>
      <c r="AA26" s="56">
        <f t="shared" si="14"/>
        <v>4025.7777777777778</v>
      </c>
      <c r="AB26" s="56">
        <f t="shared" si="0"/>
        <v>60407.211677777777</v>
      </c>
    </row>
    <row r="27" spans="1:32" s="1" customFormat="1" hidden="1">
      <c r="A27" s="1">
        <f>A26+1</f>
        <v>14</v>
      </c>
      <c r="B27" s="13" t="s">
        <v>201</v>
      </c>
      <c r="C27" s="14" t="s">
        <v>32</v>
      </c>
      <c r="D27" s="14">
        <v>2022</v>
      </c>
      <c r="E27" s="15" t="s">
        <v>30</v>
      </c>
      <c r="F27" s="16">
        <v>4009</v>
      </c>
      <c r="G27" s="17">
        <v>23</v>
      </c>
      <c r="H27" s="17">
        <v>30</v>
      </c>
      <c r="I27" s="17">
        <v>30</v>
      </c>
      <c r="J27" s="17">
        <v>30</v>
      </c>
      <c r="K27" s="17">
        <v>30</v>
      </c>
      <c r="L27" s="17">
        <v>30</v>
      </c>
      <c r="M27" s="17">
        <v>30</v>
      </c>
      <c r="N27" s="17">
        <v>30</v>
      </c>
      <c r="O27" s="17">
        <v>30</v>
      </c>
      <c r="P27" s="17">
        <v>30</v>
      </c>
      <c r="Q27" s="17">
        <v>30</v>
      </c>
      <c r="R27" s="17">
        <v>30</v>
      </c>
      <c r="S27" s="15">
        <f t="shared" si="2"/>
        <v>353</v>
      </c>
      <c r="T27" s="18">
        <f>+S27/30</f>
        <v>11.766666666666667</v>
      </c>
      <c r="U27" s="16">
        <f t="shared" si="8"/>
        <v>47173</v>
      </c>
      <c r="V27" s="17">
        <f>U27*0.1</f>
        <v>4717.3</v>
      </c>
      <c r="W27" s="17">
        <f>U27*0.0171</f>
        <v>806.65830000000005</v>
      </c>
      <c r="X27" s="17">
        <f>U27*0.03</f>
        <v>1415.19</v>
      </c>
      <c r="Y27" s="19">
        <f>U27*0.02</f>
        <v>943.46</v>
      </c>
      <c r="Z27" s="17">
        <f>SUM(U27:Y27)</f>
        <v>55055.608300000007</v>
      </c>
      <c r="AA27" s="56">
        <f t="shared" si="14"/>
        <v>3931.0472222222224</v>
      </c>
      <c r="AB27" s="56">
        <f>+AA27+Z27</f>
        <v>58986.655522222231</v>
      </c>
    </row>
    <row r="28" spans="1:32" s="1" customFormat="1" ht="23.25" hidden="1" customHeight="1">
      <c r="A28" s="1">
        <f>A27+1</f>
        <v>15</v>
      </c>
      <c r="B28" s="13" t="s">
        <v>202</v>
      </c>
      <c r="C28" s="14" t="s">
        <v>32</v>
      </c>
      <c r="D28" s="14">
        <v>2022</v>
      </c>
      <c r="E28" s="15" t="s">
        <v>30</v>
      </c>
      <c r="F28" s="16">
        <v>4009</v>
      </c>
      <c r="G28" s="17">
        <v>26</v>
      </c>
      <c r="H28" s="17">
        <v>30</v>
      </c>
      <c r="I28" s="17">
        <v>30</v>
      </c>
      <c r="J28" s="17">
        <v>30</v>
      </c>
      <c r="K28" s="17">
        <v>30</v>
      </c>
      <c r="L28" s="17">
        <v>30</v>
      </c>
      <c r="M28" s="17">
        <v>30</v>
      </c>
      <c r="N28" s="17">
        <v>30</v>
      </c>
      <c r="O28" s="17">
        <v>30</v>
      </c>
      <c r="P28" s="17">
        <v>30</v>
      </c>
      <c r="Q28" s="17">
        <v>30</v>
      </c>
      <c r="R28" s="17">
        <v>30</v>
      </c>
      <c r="S28" s="15">
        <f t="shared" si="2"/>
        <v>356</v>
      </c>
      <c r="T28" s="18">
        <f t="shared" si="1"/>
        <v>11.866666666666667</v>
      </c>
      <c r="U28" s="16">
        <f t="shared" si="8"/>
        <v>47573</v>
      </c>
      <c r="V28" s="17">
        <f t="shared" si="9"/>
        <v>4757.3</v>
      </c>
      <c r="W28" s="17">
        <f t="shared" si="10"/>
        <v>813.49830000000009</v>
      </c>
      <c r="X28" s="17">
        <f t="shared" si="11"/>
        <v>1427.19</v>
      </c>
      <c r="Y28" s="19">
        <f t="shared" si="12"/>
        <v>951.46</v>
      </c>
      <c r="Z28" s="17">
        <f t="shared" si="13"/>
        <v>55522.448300000004</v>
      </c>
      <c r="AA28" s="56">
        <f t="shared" si="14"/>
        <v>3964.4555555555557</v>
      </c>
      <c r="AB28" s="56">
        <f t="shared" si="0"/>
        <v>59486.90385555556</v>
      </c>
    </row>
    <row r="29" spans="1:32" s="1" customFormat="1" ht="23.25" hidden="1" customHeight="1">
      <c r="A29" s="1">
        <f>A28+1</f>
        <v>16</v>
      </c>
      <c r="B29" s="13" t="s">
        <v>203</v>
      </c>
      <c r="C29" s="14" t="s">
        <v>32</v>
      </c>
      <c r="D29" s="14">
        <v>2022</v>
      </c>
      <c r="E29" s="15" t="s">
        <v>30</v>
      </c>
      <c r="F29" s="16">
        <v>3340</v>
      </c>
      <c r="G29" s="17">
        <v>0</v>
      </c>
      <c r="H29" s="17">
        <v>30</v>
      </c>
      <c r="I29" s="17">
        <v>30</v>
      </c>
      <c r="J29" s="17">
        <v>30</v>
      </c>
      <c r="K29" s="17">
        <v>30</v>
      </c>
      <c r="L29" s="17">
        <v>30</v>
      </c>
      <c r="M29" s="17">
        <v>0</v>
      </c>
      <c r="N29" s="17">
        <v>0</v>
      </c>
      <c r="O29" s="17">
        <v>0</v>
      </c>
      <c r="P29" s="17">
        <v>0</v>
      </c>
      <c r="Q29" s="17">
        <v>0</v>
      </c>
      <c r="R29" s="17">
        <v>0</v>
      </c>
      <c r="S29" s="15">
        <f t="shared" si="2"/>
        <v>150</v>
      </c>
      <c r="T29" s="18">
        <f t="shared" si="1"/>
        <v>5</v>
      </c>
      <c r="U29" s="16">
        <f t="shared" si="8"/>
        <v>16700</v>
      </c>
      <c r="V29" s="17">
        <f t="shared" si="9"/>
        <v>1670</v>
      </c>
      <c r="W29" s="17">
        <f t="shared" si="10"/>
        <v>285.57</v>
      </c>
      <c r="X29" s="17">
        <f t="shared" si="11"/>
        <v>501</v>
      </c>
      <c r="Y29" s="19">
        <f t="shared" si="12"/>
        <v>334</v>
      </c>
      <c r="Z29" s="17">
        <f t="shared" si="13"/>
        <v>19490.57</v>
      </c>
      <c r="AA29" s="56">
        <f t="shared" si="14"/>
        <v>1391.6666666666667</v>
      </c>
      <c r="AB29" s="56">
        <f t="shared" si="0"/>
        <v>20882.236666666668</v>
      </c>
    </row>
    <row r="30" spans="1:32" s="1" customFormat="1" ht="28.5" customHeight="1">
      <c r="B30" s="143" t="s">
        <v>38</v>
      </c>
      <c r="C30" s="153"/>
      <c r="D30" s="154"/>
      <c r="E30" s="154"/>
      <c r="F30" s="154"/>
      <c r="G30" s="154"/>
      <c r="H30" s="154"/>
      <c r="I30" s="154"/>
      <c r="J30" s="154"/>
      <c r="K30" s="154"/>
      <c r="L30" s="154"/>
      <c r="M30" s="154"/>
      <c r="N30" s="154"/>
      <c r="O30" s="154"/>
      <c r="P30" s="154"/>
      <c r="Q30" s="154"/>
      <c r="R30" s="154"/>
      <c r="S30" s="154"/>
      <c r="T30" s="154"/>
      <c r="U30" s="146">
        <f>U32+U33</f>
        <v>69060</v>
      </c>
      <c r="V30" s="154">
        <f t="shared" si="9"/>
        <v>6906</v>
      </c>
      <c r="W30" s="154">
        <f t="shared" si="10"/>
        <v>1180.9259999999999</v>
      </c>
      <c r="X30" s="154">
        <f t="shared" si="11"/>
        <v>2071.7999999999997</v>
      </c>
      <c r="Y30" s="154">
        <f t="shared" si="12"/>
        <v>1381.2</v>
      </c>
      <c r="Z30" s="149">
        <f t="shared" si="13"/>
        <v>80599.926000000007</v>
      </c>
      <c r="AA30" s="56"/>
      <c r="AB30" s="56">
        <f>+AA30+Z30</f>
        <v>80599.926000000007</v>
      </c>
    </row>
    <row r="31" spans="1:32" s="1" customFormat="1" ht="33.75" hidden="1" customHeight="1">
      <c r="A31" s="1">
        <f>A29+1</f>
        <v>17</v>
      </c>
      <c r="B31" s="13" t="s">
        <v>212</v>
      </c>
      <c r="C31" s="14" t="s">
        <v>32</v>
      </c>
      <c r="D31" s="14">
        <v>2022</v>
      </c>
      <c r="E31" s="15" t="s">
        <v>30</v>
      </c>
      <c r="F31" s="16">
        <v>10693</v>
      </c>
      <c r="G31" s="17">
        <v>20</v>
      </c>
      <c r="H31" s="17">
        <v>30</v>
      </c>
      <c r="I31" s="17">
        <v>30</v>
      </c>
      <c r="J31" s="17">
        <v>30</v>
      </c>
      <c r="K31" s="17">
        <v>30</v>
      </c>
      <c r="L31" s="17">
        <v>30</v>
      </c>
      <c r="M31" s="17">
        <v>30</v>
      </c>
      <c r="N31" s="17">
        <v>30</v>
      </c>
      <c r="O31" s="17">
        <v>30</v>
      </c>
      <c r="P31" s="17">
        <v>30</v>
      </c>
      <c r="Q31" s="17">
        <v>30</v>
      </c>
      <c r="R31" s="17">
        <v>30</v>
      </c>
      <c r="S31" s="15">
        <f t="shared" si="2"/>
        <v>350</v>
      </c>
      <c r="T31" s="18">
        <f>+S31/30</f>
        <v>11.666666666666666</v>
      </c>
      <c r="U31" s="16">
        <f>ROUND(PRODUCT(F31*T31),0)</f>
        <v>124752</v>
      </c>
      <c r="V31" s="17">
        <f>U31*0.1</f>
        <v>12475.2</v>
      </c>
      <c r="W31" s="17">
        <f>U31*0.0171</f>
        <v>2133.2592</v>
      </c>
      <c r="X31" s="17">
        <f>U31*0.03</f>
        <v>3742.56</v>
      </c>
      <c r="Y31" s="19">
        <f>U31*0.02</f>
        <v>2495.04</v>
      </c>
      <c r="Z31" s="17">
        <f>SUM(U31:Y31)</f>
        <v>145598.05920000002</v>
      </c>
      <c r="AA31" s="56">
        <f>+F31*S31/360</f>
        <v>10395.972222222223</v>
      </c>
      <c r="AB31" s="56">
        <f>+AA31+Z31</f>
        <v>155994.03142222224</v>
      </c>
    </row>
    <row r="32" spans="1:32" s="1" customFormat="1" ht="29.25" customHeight="1">
      <c r="A32" s="1">
        <f>A31+1</f>
        <v>18</v>
      </c>
      <c r="B32" s="159" t="s">
        <v>168</v>
      </c>
      <c r="C32" s="160" t="s">
        <v>207</v>
      </c>
      <c r="D32" s="160">
        <v>2022</v>
      </c>
      <c r="E32" s="161" t="s">
        <v>30</v>
      </c>
      <c r="F32" s="162">
        <v>6906</v>
      </c>
      <c r="G32" s="163">
        <v>0</v>
      </c>
      <c r="H32" s="163">
        <v>30</v>
      </c>
      <c r="I32" s="163">
        <v>30</v>
      </c>
      <c r="J32" s="163">
        <v>30</v>
      </c>
      <c r="K32" s="163">
        <v>30</v>
      </c>
      <c r="L32" s="163">
        <v>30</v>
      </c>
      <c r="M32" s="163">
        <v>0</v>
      </c>
      <c r="N32" s="163">
        <v>0</v>
      </c>
      <c r="O32" s="163">
        <v>0</v>
      </c>
      <c r="P32" s="163">
        <v>0</v>
      </c>
      <c r="Q32" s="163">
        <v>0</v>
      </c>
      <c r="R32" s="163">
        <v>0</v>
      </c>
      <c r="S32" s="161">
        <f t="shared" si="2"/>
        <v>150</v>
      </c>
      <c r="T32" s="164">
        <f>+S32/30</f>
        <v>5</v>
      </c>
      <c r="U32" s="162">
        <f>ROUND(PRODUCT(F32*T32),0)</f>
        <v>34530</v>
      </c>
      <c r="V32" s="163">
        <f>U32*0.1</f>
        <v>3453</v>
      </c>
      <c r="W32" s="163">
        <f>U32*0.0171</f>
        <v>590.46299999999997</v>
      </c>
      <c r="X32" s="163">
        <f>U32*0.03</f>
        <v>1035.8999999999999</v>
      </c>
      <c r="Y32" s="165">
        <f>U32*0.02</f>
        <v>690.6</v>
      </c>
      <c r="Z32" s="163">
        <f>SUM(U32:Y32)</f>
        <v>40299.963000000003</v>
      </c>
      <c r="AA32" s="56">
        <f>+F32*S32/360</f>
        <v>2877.5</v>
      </c>
      <c r="AB32" s="56">
        <f>+AA32+Z32</f>
        <v>43177.463000000003</v>
      </c>
      <c r="AF32" s="1">
        <v>20</v>
      </c>
    </row>
    <row r="33" spans="1:32" s="1" customFormat="1" ht="29.25" customHeight="1">
      <c r="A33" s="1">
        <f>A32+1</f>
        <v>19</v>
      </c>
      <c r="B33" s="159" t="s">
        <v>169</v>
      </c>
      <c r="C33" s="160" t="s">
        <v>207</v>
      </c>
      <c r="D33" s="160">
        <v>2022</v>
      </c>
      <c r="E33" s="161" t="s">
        <v>30</v>
      </c>
      <c r="F33" s="162">
        <v>6906</v>
      </c>
      <c r="G33" s="163">
        <v>0</v>
      </c>
      <c r="H33" s="163">
        <v>30</v>
      </c>
      <c r="I33" s="163">
        <v>30</v>
      </c>
      <c r="J33" s="163">
        <v>30</v>
      </c>
      <c r="K33" s="163">
        <v>30</v>
      </c>
      <c r="L33" s="163">
        <v>30</v>
      </c>
      <c r="M33" s="163">
        <v>0</v>
      </c>
      <c r="N33" s="163">
        <v>0</v>
      </c>
      <c r="O33" s="163">
        <v>0</v>
      </c>
      <c r="P33" s="163">
        <v>0</v>
      </c>
      <c r="Q33" s="163">
        <v>0</v>
      </c>
      <c r="R33" s="163">
        <v>0</v>
      </c>
      <c r="S33" s="161">
        <f t="shared" si="2"/>
        <v>150</v>
      </c>
      <c r="T33" s="164">
        <f>+S33/30</f>
        <v>5</v>
      </c>
      <c r="U33" s="162">
        <f>ROUND(PRODUCT(F33*T33),0)</f>
        <v>34530</v>
      </c>
      <c r="V33" s="163">
        <f>U33*0.1</f>
        <v>3453</v>
      </c>
      <c r="W33" s="163">
        <f>U33*0.0171</f>
        <v>590.46299999999997</v>
      </c>
      <c r="X33" s="163">
        <f>U33*0.03</f>
        <v>1035.8999999999999</v>
      </c>
      <c r="Y33" s="165">
        <f>U33*0.02</f>
        <v>690.6</v>
      </c>
      <c r="Z33" s="163">
        <f>SUM(U33:Y33)</f>
        <v>40299.963000000003</v>
      </c>
      <c r="AA33" s="56">
        <f>+F33*S33/360</f>
        <v>2877.5</v>
      </c>
      <c r="AB33" s="56"/>
    </row>
    <row r="34" spans="1:32" s="1" customFormat="1" ht="26.25" hidden="1" customHeight="1">
      <c r="A34" s="1">
        <f>A33+1</f>
        <v>20</v>
      </c>
      <c r="B34" s="13" t="s">
        <v>170</v>
      </c>
      <c r="C34" s="14" t="s">
        <v>32</v>
      </c>
      <c r="D34" s="14">
        <v>2022</v>
      </c>
      <c r="E34" s="15" t="s">
        <v>30</v>
      </c>
      <c r="F34" s="16">
        <v>3340</v>
      </c>
      <c r="G34" s="17">
        <v>0</v>
      </c>
      <c r="H34" s="17">
        <v>30</v>
      </c>
      <c r="I34" s="17">
        <v>30</v>
      </c>
      <c r="J34" s="17">
        <v>30</v>
      </c>
      <c r="K34" s="17">
        <v>30</v>
      </c>
      <c r="L34" s="17">
        <v>30</v>
      </c>
      <c r="M34" s="17">
        <v>0</v>
      </c>
      <c r="N34" s="17">
        <v>0</v>
      </c>
      <c r="O34" s="17">
        <v>0</v>
      </c>
      <c r="P34" s="17">
        <v>0</v>
      </c>
      <c r="Q34" s="17">
        <v>0</v>
      </c>
      <c r="R34" s="17">
        <v>0</v>
      </c>
      <c r="S34" s="15">
        <f t="shared" si="2"/>
        <v>150</v>
      </c>
      <c r="T34" s="18">
        <f>+S34/30</f>
        <v>5</v>
      </c>
      <c r="U34" s="16">
        <f>ROUND(PRODUCT(F34*T34),0)</f>
        <v>16700</v>
      </c>
      <c r="V34" s="17">
        <f>U34*0.1</f>
        <v>1670</v>
      </c>
      <c r="W34" s="17">
        <f>U34*0.0171</f>
        <v>285.57</v>
      </c>
      <c r="X34" s="17">
        <f>U34*0.03</f>
        <v>501</v>
      </c>
      <c r="Y34" s="19">
        <f>U34*0.02</f>
        <v>334</v>
      </c>
      <c r="Z34" s="17">
        <f>SUM(U34:Y34)</f>
        <v>19490.57</v>
      </c>
      <c r="AA34" s="56">
        <f>+F34*S34/360</f>
        <v>1391.6666666666667</v>
      </c>
      <c r="AB34" s="56">
        <f>+AA34+Z34</f>
        <v>20882.236666666668</v>
      </c>
      <c r="AF34" s="1">
        <v>30</v>
      </c>
    </row>
    <row r="35" spans="1:32" s="1" customFormat="1" ht="26.25" customHeight="1">
      <c r="B35" s="139" t="s">
        <v>39</v>
      </c>
      <c r="C35" s="144"/>
      <c r="D35" s="144"/>
      <c r="E35" s="145"/>
      <c r="F35" s="146"/>
      <c r="G35" s="146"/>
      <c r="H35" s="146"/>
      <c r="I35" s="146"/>
      <c r="J35" s="146"/>
      <c r="K35" s="146"/>
      <c r="L35" s="146"/>
      <c r="M35" s="146"/>
      <c r="N35" s="146"/>
      <c r="O35" s="146"/>
      <c r="P35" s="146"/>
      <c r="Q35" s="146"/>
      <c r="R35" s="146"/>
      <c r="S35" s="145"/>
      <c r="T35" s="145"/>
      <c r="U35" s="146">
        <f>U38</f>
        <v>41436</v>
      </c>
      <c r="V35" s="149"/>
      <c r="W35" s="149"/>
      <c r="X35" s="149"/>
      <c r="Y35" s="150"/>
      <c r="Z35" s="149"/>
      <c r="AA35" s="56"/>
      <c r="AB35" s="56">
        <f>+AA35+Z35</f>
        <v>0</v>
      </c>
      <c r="AF35" s="1">
        <v>30</v>
      </c>
    </row>
    <row r="36" spans="1:32" s="1" customFormat="1" ht="29.25" hidden="1" customHeight="1">
      <c r="A36" s="1">
        <f>A34+1</f>
        <v>21</v>
      </c>
      <c r="B36" s="13" t="s">
        <v>213</v>
      </c>
      <c r="C36" s="14" t="s">
        <v>32</v>
      </c>
      <c r="D36" s="14">
        <v>2022</v>
      </c>
      <c r="E36" s="15" t="s">
        <v>30</v>
      </c>
      <c r="F36" s="16">
        <v>10693</v>
      </c>
      <c r="G36" s="17">
        <v>25</v>
      </c>
      <c r="H36" s="17">
        <v>30</v>
      </c>
      <c r="I36" s="17">
        <v>30</v>
      </c>
      <c r="J36" s="17">
        <v>30</v>
      </c>
      <c r="K36" s="17">
        <v>30</v>
      </c>
      <c r="L36" s="17">
        <v>30</v>
      </c>
      <c r="M36" s="17">
        <v>30</v>
      </c>
      <c r="N36" s="17">
        <v>30</v>
      </c>
      <c r="O36" s="17">
        <v>30</v>
      </c>
      <c r="P36" s="17">
        <v>30</v>
      </c>
      <c r="Q36" s="17">
        <v>30</v>
      </c>
      <c r="R36" s="17">
        <v>30</v>
      </c>
      <c r="S36" s="15">
        <f t="shared" si="2"/>
        <v>355</v>
      </c>
      <c r="T36" s="18">
        <f>+S36/30</f>
        <v>11.833333333333334</v>
      </c>
      <c r="U36" s="16">
        <f>ROUND(PRODUCT(F36*T36),0)</f>
        <v>126534</v>
      </c>
      <c r="V36" s="17">
        <f t="shared" ref="V36:V42" si="15">U36*0.1</f>
        <v>12653.400000000001</v>
      </c>
      <c r="W36" s="17">
        <f t="shared" ref="W36:W42" si="16">U36*0.0171</f>
        <v>2163.7314000000001</v>
      </c>
      <c r="X36" s="17">
        <f t="shared" ref="X36:X42" si="17">U36*0.03</f>
        <v>3796.02</v>
      </c>
      <c r="Y36" s="19">
        <f t="shared" ref="Y36:Y42" si="18">U36*0.02</f>
        <v>2530.6799999999998</v>
      </c>
      <c r="Z36" s="17">
        <f t="shared" ref="Z36:Z42" si="19">SUM(U36:Y36)</f>
        <v>147677.83139999997</v>
      </c>
      <c r="AA36" s="56">
        <f>+F36*S36/360</f>
        <v>10544.486111111111</v>
      </c>
      <c r="AB36" s="56">
        <f>+AA36+Z36</f>
        <v>158222.31751111109</v>
      </c>
      <c r="AF36" s="1">
        <v>10</v>
      </c>
    </row>
    <row r="37" spans="1:32" s="1" customFormat="1" ht="23.25" hidden="1" customHeight="1">
      <c r="A37" s="1">
        <f>A36+1</f>
        <v>22</v>
      </c>
      <c r="B37" s="13" t="s">
        <v>171</v>
      </c>
      <c r="C37" s="14" t="s">
        <v>32</v>
      </c>
      <c r="D37" s="14">
        <v>2022</v>
      </c>
      <c r="E37" s="15" t="s">
        <v>30</v>
      </c>
      <c r="F37" s="16">
        <v>6906</v>
      </c>
      <c r="G37" s="17">
        <v>0</v>
      </c>
      <c r="H37" s="17">
        <v>20</v>
      </c>
      <c r="I37" s="17">
        <v>30</v>
      </c>
      <c r="J37" s="17">
        <v>30</v>
      </c>
      <c r="K37" s="17">
        <v>30</v>
      </c>
      <c r="L37" s="17">
        <v>30</v>
      </c>
      <c r="M37" s="17">
        <v>0</v>
      </c>
      <c r="N37" s="17">
        <v>0</v>
      </c>
      <c r="O37" s="17">
        <v>0</v>
      </c>
      <c r="P37" s="17">
        <v>0</v>
      </c>
      <c r="Q37" s="17">
        <v>0</v>
      </c>
      <c r="R37" s="17">
        <v>0</v>
      </c>
      <c r="S37" s="15">
        <f t="shared" si="2"/>
        <v>140</v>
      </c>
      <c r="T37" s="18">
        <f>+S37/30</f>
        <v>4.666666666666667</v>
      </c>
      <c r="U37" s="16">
        <f>ROUND(PRODUCT(F37*T37),0)</f>
        <v>32228</v>
      </c>
      <c r="V37" s="17">
        <f t="shared" si="15"/>
        <v>3222.8</v>
      </c>
      <c r="W37" s="17">
        <f t="shared" si="16"/>
        <v>551.09879999999998</v>
      </c>
      <c r="X37" s="17">
        <f t="shared" si="17"/>
        <v>966.83999999999992</v>
      </c>
      <c r="Y37" s="19">
        <f t="shared" si="18"/>
        <v>644.56000000000006</v>
      </c>
      <c r="Z37" s="17">
        <f t="shared" si="19"/>
        <v>37613.298799999997</v>
      </c>
      <c r="AA37" s="56">
        <f>+F37*S37/360</f>
        <v>2685.6666666666665</v>
      </c>
      <c r="AB37" s="56">
        <f>+AA37+Z37</f>
        <v>40298.965466666661</v>
      </c>
      <c r="AF37" s="1">
        <f>SUM(AF32:AF36)</f>
        <v>90</v>
      </c>
    </row>
    <row r="38" spans="1:32" s="1" customFormat="1" ht="23.25" customHeight="1">
      <c r="A38" s="1">
        <f>A37+1</f>
        <v>23</v>
      </c>
      <c r="B38" s="159" t="s">
        <v>172</v>
      </c>
      <c r="C38" s="160" t="s">
        <v>207</v>
      </c>
      <c r="D38" s="160">
        <v>2022</v>
      </c>
      <c r="E38" s="161" t="s">
        <v>30</v>
      </c>
      <c r="F38" s="162">
        <v>6906</v>
      </c>
      <c r="G38" s="163">
        <v>0</v>
      </c>
      <c r="H38" s="163">
        <v>30</v>
      </c>
      <c r="I38" s="163">
        <v>30</v>
      </c>
      <c r="J38" s="163">
        <v>30</v>
      </c>
      <c r="K38" s="163">
        <v>30</v>
      </c>
      <c r="L38" s="163">
        <v>30</v>
      </c>
      <c r="M38" s="163">
        <v>30</v>
      </c>
      <c r="N38" s="163">
        <v>0</v>
      </c>
      <c r="O38" s="163">
        <v>0</v>
      </c>
      <c r="P38" s="163">
        <v>0</v>
      </c>
      <c r="Q38" s="163">
        <v>0</v>
      </c>
      <c r="R38" s="163">
        <v>0</v>
      </c>
      <c r="S38" s="161">
        <f t="shared" si="2"/>
        <v>180</v>
      </c>
      <c r="T38" s="164">
        <f>+S38/30</f>
        <v>6</v>
      </c>
      <c r="U38" s="162">
        <f>ROUND(PRODUCT(F38*T38),0)</f>
        <v>41436</v>
      </c>
      <c r="V38" s="163">
        <f t="shared" si="15"/>
        <v>4143.6000000000004</v>
      </c>
      <c r="W38" s="163">
        <f t="shared" si="16"/>
        <v>708.55560000000003</v>
      </c>
      <c r="X38" s="163">
        <f t="shared" si="17"/>
        <v>1243.08</v>
      </c>
      <c r="Y38" s="165">
        <f t="shared" si="18"/>
        <v>828.72</v>
      </c>
      <c r="Z38" s="163">
        <f t="shared" si="19"/>
        <v>48359.955600000001</v>
      </c>
      <c r="AA38" s="56"/>
      <c r="AB38" s="56"/>
    </row>
    <row r="39" spans="1:32" s="1" customFormat="1" ht="28.5" customHeight="1">
      <c r="B39" s="139" t="s">
        <v>37</v>
      </c>
      <c r="C39" s="140"/>
      <c r="D39" s="140"/>
      <c r="E39" s="140"/>
      <c r="F39" s="155"/>
      <c r="G39" s="155"/>
      <c r="H39" s="155"/>
      <c r="I39" s="155"/>
      <c r="J39" s="155"/>
      <c r="K39" s="155"/>
      <c r="L39" s="155"/>
      <c r="M39" s="155"/>
      <c r="N39" s="155"/>
      <c r="O39" s="155"/>
      <c r="P39" s="155"/>
      <c r="Q39" s="155"/>
      <c r="R39" s="155"/>
      <c r="S39" s="140"/>
      <c r="T39" s="140"/>
      <c r="U39" s="148">
        <f>U42</f>
        <v>41436</v>
      </c>
      <c r="V39" s="141">
        <f t="shared" si="15"/>
        <v>4143.6000000000004</v>
      </c>
      <c r="W39" s="141">
        <f t="shared" si="16"/>
        <v>708.55560000000003</v>
      </c>
      <c r="X39" s="141">
        <f t="shared" si="17"/>
        <v>1243.08</v>
      </c>
      <c r="Y39" s="141">
        <f t="shared" si="18"/>
        <v>828.72</v>
      </c>
      <c r="Z39" s="149">
        <f t="shared" si="19"/>
        <v>48359.955600000001</v>
      </c>
      <c r="AA39" s="56"/>
      <c r="AB39" s="56">
        <f t="shared" si="0"/>
        <v>48359.955600000001</v>
      </c>
    </row>
    <row r="40" spans="1:32" s="1" customFormat="1" ht="20.399999999999999" hidden="1">
      <c r="A40" s="1">
        <f>A38+1</f>
        <v>24</v>
      </c>
      <c r="B40" s="25" t="s">
        <v>214</v>
      </c>
      <c r="C40" s="14" t="s">
        <v>32</v>
      </c>
      <c r="D40" s="14">
        <v>2022</v>
      </c>
      <c r="E40" s="15" t="s">
        <v>30</v>
      </c>
      <c r="F40" s="26">
        <v>10693</v>
      </c>
      <c r="G40" s="17">
        <v>26</v>
      </c>
      <c r="H40" s="17">
        <v>30</v>
      </c>
      <c r="I40" s="17">
        <v>30</v>
      </c>
      <c r="J40" s="17">
        <v>30</v>
      </c>
      <c r="K40" s="17">
        <v>30</v>
      </c>
      <c r="L40" s="17">
        <v>30</v>
      </c>
      <c r="M40" s="17">
        <v>30</v>
      </c>
      <c r="N40" s="17">
        <v>30</v>
      </c>
      <c r="O40" s="17">
        <v>30</v>
      </c>
      <c r="P40" s="17">
        <v>30</v>
      </c>
      <c r="Q40" s="17">
        <v>30</v>
      </c>
      <c r="R40" s="17">
        <v>30</v>
      </c>
      <c r="S40" s="15">
        <f t="shared" si="2"/>
        <v>356</v>
      </c>
      <c r="T40" s="18">
        <f>+S40/30</f>
        <v>11.866666666666667</v>
      </c>
      <c r="U40" s="16">
        <f>ROUND(PRODUCT(F40*T40),0)</f>
        <v>126890</v>
      </c>
      <c r="V40" s="17">
        <f t="shared" si="15"/>
        <v>12689</v>
      </c>
      <c r="W40" s="17">
        <f t="shared" si="16"/>
        <v>2169.819</v>
      </c>
      <c r="X40" s="17">
        <f t="shared" si="17"/>
        <v>3806.7</v>
      </c>
      <c r="Y40" s="19">
        <f t="shared" si="18"/>
        <v>2537.8000000000002</v>
      </c>
      <c r="Z40" s="17">
        <f t="shared" si="19"/>
        <v>148093.31899999999</v>
      </c>
      <c r="AA40" s="56">
        <f>+F40*S40/360</f>
        <v>10574.18888888889</v>
      </c>
      <c r="AB40" s="56">
        <f t="shared" si="0"/>
        <v>158667.50788888888</v>
      </c>
    </row>
    <row r="41" spans="1:32" s="1" customFormat="1" ht="29.25" hidden="1" customHeight="1">
      <c r="A41" s="1">
        <f>A40+1</f>
        <v>25</v>
      </c>
      <c r="B41" s="13" t="s">
        <v>173</v>
      </c>
      <c r="C41" s="14" t="s">
        <v>32</v>
      </c>
      <c r="D41" s="14">
        <v>2022</v>
      </c>
      <c r="E41" s="15" t="s">
        <v>30</v>
      </c>
      <c r="F41" s="16">
        <v>6906</v>
      </c>
      <c r="G41" s="17">
        <v>0</v>
      </c>
      <c r="H41" s="17">
        <v>20</v>
      </c>
      <c r="I41" s="17">
        <v>30</v>
      </c>
      <c r="J41" s="17">
        <v>30</v>
      </c>
      <c r="K41" s="17">
        <v>30</v>
      </c>
      <c r="L41" s="17">
        <v>30</v>
      </c>
      <c r="M41" s="17">
        <v>0</v>
      </c>
      <c r="N41" s="17">
        <v>0</v>
      </c>
      <c r="O41" s="17">
        <v>0</v>
      </c>
      <c r="P41" s="17">
        <v>0</v>
      </c>
      <c r="Q41" s="17">
        <v>0</v>
      </c>
      <c r="R41" s="17">
        <v>0</v>
      </c>
      <c r="S41" s="15">
        <f t="shared" si="2"/>
        <v>140</v>
      </c>
      <c r="T41" s="18">
        <f>+S41/30</f>
        <v>4.666666666666667</v>
      </c>
      <c r="U41" s="16">
        <f>ROUND(PRODUCT(F41*T41),0)</f>
        <v>32228</v>
      </c>
      <c r="V41" s="17">
        <f t="shared" si="15"/>
        <v>3222.8</v>
      </c>
      <c r="W41" s="17">
        <f t="shared" si="16"/>
        <v>551.09879999999998</v>
      </c>
      <c r="X41" s="17">
        <f t="shared" si="17"/>
        <v>966.83999999999992</v>
      </c>
      <c r="Y41" s="19">
        <f t="shared" si="18"/>
        <v>644.56000000000006</v>
      </c>
      <c r="Z41" s="17">
        <f t="shared" si="19"/>
        <v>37613.298799999997</v>
      </c>
      <c r="AA41" s="56">
        <f>+F41*S41/360</f>
        <v>2685.6666666666665</v>
      </c>
      <c r="AB41" s="56">
        <f t="shared" si="0"/>
        <v>40298.965466666661</v>
      </c>
    </row>
    <row r="42" spans="1:32" s="1" customFormat="1" ht="24" customHeight="1">
      <c r="A42" s="1">
        <f>A41+1</f>
        <v>26</v>
      </c>
      <c r="B42" s="159" t="s">
        <v>216</v>
      </c>
      <c r="C42" s="160" t="s">
        <v>207</v>
      </c>
      <c r="D42" s="160">
        <v>2022</v>
      </c>
      <c r="E42" s="161" t="s">
        <v>30</v>
      </c>
      <c r="F42" s="162">
        <v>6906</v>
      </c>
      <c r="G42" s="163">
        <v>0</v>
      </c>
      <c r="H42" s="163">
        <v>30</v>
      </c>
      <c r="I42" s="163">
        <v>30</v>
      </c>
      <c r="J42" s="163">
        <v>30</v>
      </c>
      <c r="K42" s="163">
        <v>30</v>
      </c>
      <c r="L42" s="163">
        <v>30</v>
      </c>
      <c r="M42" s="163">
        <v>30</v>
      </c>
      <c r="N42" s="163">
        <v>0</v>
      </c>
      <c r="O42" s="163">
        <v>0</v>
      </c>
      <c r="P42" s="163">
        <v>0</v>
      </c>
      <c r="Q42" s="163">
        <v>0</v>
      </c>
      <c r="R42" s="163">
        <v>0</v>
      </c>
      <c r="S42" s="161">
        <f t="shared" si="2"/>
        <v>180</v>
      </c>
      <c r="T42" s="164">
        <f>+S42/30</f>
        <v>6</v>
      </c>
      <c r="U42" s="162">
        <f>ROUND(PRODUCT(F42*T42),0)</f>
        <v>41436</v>
      </c>
      <c r="V42" s="163">
        <f t="shared" si="15"/>
        <v>4143.6000000000004</v>
      </c>
      <c r="W42" s="163">
        <f t="shared" si="16"/>
        <v>708.55560000000003</v>
      </c>
      <c r="X42" s="163">
        <f t="shared" si="17"/>
        <v>1243.08</v>
      </c>
      <c r="Y42" s="165">
        <f t="shared" si="18"/>
        <v>828.72</v>
      </c>
      <c r="Z42" s="163">
        <f t="shared" si="19"/>
        <v>48359.955600000001</v>
      </c>
      <c r="AA42" s="56"/>
      <c r="AB42" s="56">
        <f t="shared" si="0"/>
        <v>48359.955600000001</v>
      </c>
    </row>
    <row r="43" spans="1:32" s="1" customFormat="1">
      <c r="B43" s="4"/>
      <c r="C43" s="5"/>
      <c r="D43" s="5"/>
      <c r="E43" s="5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31"/>
      <c r="V43" s="6"/>
      <c r="W43" s="6"/>
      <c r="X43" s="6"/>
      <c r="Y43" s="6"/>
      <c r="Z43" s="12"/>
      <c r="AA43" s="56"/>
      <c r="AB43" s="56">
        <f t="shared" si="0"/>
        <v>0</v>
      </c>
    </row>
    <row r="44" spans="1:32" s="1" customFormat="1">
      <c r="B44" s="32" t="s">
        <v>217</v>
      </c>
      <c r="C44" s="33">
        <v>18</v>
      </c>
      <c r="D44" s="34"/>
      <c r="E44" s="35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7">
        <f>U17+U30+U35+U39</f>
        <v>220992</v>
      </c>
      <c r="V44" s="38">
        <f>SUM(V10:V43)</f>
        <v>194528.2</v>
      </c>
      <c r="W44" s="38">
        <f>SUM(W10:W43)</f>
        <v>33264.322199999995</v>
      </c>
      <c r="X44" s="38">
        <f>SUM(X10:X43)</f>
        <v>58358.460000000006</v>
      </c>
      <c r="Y44" s="39">
        <f>SUM(Y10:Y43)</f>
        <v>38905.640000000007</v>
      </c>
      <c r="Z44" s="38">
        <f>SUM(Z12:Z43)</f>
        <v>1996747.0401999999</v>
      </c>
      <c r="AA44" s="56">
        <f>SUM(AA9:AA42)</f>
        <v>137106.27777777778</v>
      </c>
      <c r="AB44" s="57">
        <f>SUM(AB9:AB42)</f>
        <v>2143197.6293777777</v>
      </c>
    </row>
    <row r="45" spans="1:32" s="1" customFormat="1">
      <c r="B45" s="32" t="s">
        <v>41</v>
      </c>
      <c r="C45" s="33">
        <v>18</v>
      </c>
      <c r="D45" s="34"/>
      <c r="E45" s="35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8">
        <f>SUM(U44:U44)</f>
        <v>220992</v>
      </c>
      <c r="V45" s="40">
        <f>SUM(V44:V44)</f>
        <v>194528.2</v>
      </c>
      <c r="W45" s="40">
        <f>SUM(W44:W44)</f>
        <v>33264.322199999995</v>
      </c>
      <c r="X45" s="40">
        <f>SUM(X44:X44)</f>
        <v>58358.460000000006</v>
      </c>
      <c r="Y45" s="41">
        <f>SUM(Y44:Y44)</f>
        <v>38905.640000000007</v>
      </c>
      <c r="Z45" s="42"/>
      <c r="AA45" s="56"/>
      <c r="AB45" s="56"/>
    </row>
    <row r="46" spans="1:32" s="127" customFormat="1">
      <c r="B46" s="122"/>
      <c r="C46" s="123"/>
      <c r="D46" s="123"/>
      <c r="E46" s="122"/>
      <c r="F46" s="124"/>
      <c r="G46" s="124"/>
      <c r="H46" s="124"/>
      <c r="I46" s="124"/>
      <c r="J46" s="124"/>
      <c r="K46" s="124"/>
      <c r="L46" s="124"/>
      <c r="M46" s="124"/>
      <c r="N46" s="124"/>
      <c r="O46" s="124"/>
      <c r="P46" s="124"/>
      <c r="Q46" s="124"/>
      <c r="R46" s="124"/>
      <c r="S46" s="124"/>
      <c r="T46" s="124"/>
      <c r="U46" s="125"/>
      <c r="V46" s="126"/>
      <c r="W46" s="126"/>
      <c r="X46" s="126"/>
      <c r="Y46" s="126"/>
      <c r="Z46" s="131"/>
      <c r="AA46" s="132"/>
      <c r="AB46" s="132"/>
    </row>
    <row r="47" spans="1:32" s="127" customFormat="1">
      <c r="B47" s="122"/>
      <c r="C47" s="123"/>
      <c r="D47" s="123"/>
      <c r="E47" s="122"/>
      <c r="F47" s="124"/>
      <c r="G47" s="124"/>
      <c r="H47" s="124"/>
      <c r="I47" s="124"/>
      <c r="J47" s="124"/>
      <c r="K47" s="124"/>
      <c r="L47" s="124"/>
      <c r="M47" s="124"/>
      <c r="N47" s="124"/>
      <c r="O47" s="124"/>
      <c r="P47" s="124"/>
      <c r="Q47" s="124"/>
      <c r="R47" s="124"/>
      <c r="S47" s="124"/>
      <c r="T47" s="124"/>
      <c r="U47" s="125"/>
      <c r="V47" s="126"/>
      <c r="W47" s="126"/>
      <c r="X47" s="126"/>
      <c r="Y47" s="126"/>
      <c r="Z47" s="131"/>
      <c r="AA47" s="132"/>
      <c r="AB47" s="132"/>
    </row>
    <row r="48" spans="1:32" s="127" customFormat="1">
      <c r="B48" s="122"/>
      <c r="C48" s="123"/>
      <c r="D48" s="123"/>
      <c r="E48" s="122"/>
      <c r="F48" s="124"/>
      <c r="G48" s="124"/>
      <c r="H48" s="124"/>
      <c r="I48" s="124"/>
      <c r="J48" s="124"/>
      <c r="K48" s="124"/>
      <c r="L48" s="124"/>
      <c r="M48" s="124"/>
      <c r="N48" s="124"/>
      <c r="O48" s="124"/>
      <c r="P48" s="124"/>
      <c r="Q48" s="124"/>
      <c r="R48" s="124"/>
      <c r="S48" s="124"/>
      <c r="T48" s="124"/>
      <c r="U48" s="125"/>
      <c r="V48" s="126"/>
      <c r="W48" s="126"/>
      <c r="X48" s="126"/>
      <c r="Y48" s="126"/>
      <c r="Z48" s="131"/>
      <c r="AA48" s="132"/>
      <c r="AB48" s="132"/>
    </row>
    <row r="49" spans="2:28" s="127" customFormat="1">
      <c r="B49" s="122"/>
      <c r="C49" s="123"/>
      <c r="D49" s="123"/>
      <c r="E49" s="122"/>
      <c r="F49" s="124"/>
      <c r="G49" s="124"/>
      <c r="H49" s="124"/>
      <c r="I49" s="124"/>
      <c r="J49" s="124"/>
      <c r="K49" s="124"/>
      <c r="L49" s="124"/>
      <c r="M49" s="124"/>
      <c r="N49" s="124"/>
      <c r="O49" s="124"/>
      <c r="P49" s="124"/>
      <c r="Q49" s="124"/>
      <c r="R49" s="124"/>
      <c r="S49" s="124"/>
      <c r="T49" s="124"/>
      <c r="U49" s="125"/>
      <c r="V49" s="126"/>
      <c r="W49" s="126"/>
      <c r="X49" s="126"/>
      <c r="Y49" s="126"/>
      <c r="Z49" s="131"/>
      <c r="AA49" s="132"/>
      <c r="AB49" s="132"/>
    </row>
    <row r="50" spans="2:28" s="1" customFormat="1">
      <c r="B50" s="4"/>
      <c r="C50" s="5"/>
      <c r="D50" s="5"/>
      <c r="E50" s="5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3"/>
      <c r="V50" s="6"/>
      <c r="W50" s="6"/>
      <c r="X50" s="6"/>
      <c r="Y50" s="6"/>
      <c r="Z50" s="44"/>
      <c r="AA50" s="56"/>
      <c r="AB50" s="56">
        <f>+Z55-AB44</f>
        <v>-214690.62937777769</v>
      </c>
    </row>
    <row r="51" spans="2:28" s="1" customFormat="1" ht="14.1" customHeight="1">
      <c r="B51" s="45"/>
      <c r="C51" s="45"/>
      <c r="D51" s="133"/>
      <c r="E51" s="133"/>
      <c r="F51" s="133"/>
      <c r="G51" s="133"/>
      <c r="H51" s="133"/>
      <c r="I51" s="133"/>
      <c r="J51" s="133"/>
      <c r="K51" s="133"/>
      <c r="L51" s="133"/>
      <c r="M51" s="133"/>
      <c r="N51" s="133"/>
      <c r="O51" s="133"/>
      <c r="P51" s="133"/>
      <c r="Q51" s="133"/>
      <c r="R51" s="133"/>
      <c r="S51" s="45"/>
      <c r="T51" s="45"/>
      <c r="U51" s="46"/>
      <c r="V51" s="331" t="s">
        <v>42</v>
      </c>
      <c r="W51" s="331"/>
      <c r="X51" s="331"/>
      <c r="Y51" s="331"/>
      <c r="Z51" s="47">
        <f>F10</f>
        <v>19535</v>
      </c>
      <c r="AA51" s="56"/>
      <c r="AB51" s="56"/>
    </row>
    <row r="52" spans="2:28" s="1" customFormat="1">
      <c r="B52" s="45"/>
      <c r="C52" s="45"/>
      <c r="D52" s="133"/>
      <c r="E52" s="133"/>
      <c r="F52" s="133"/>
      <c r="G52" s="133"/>
      <c r="H52" s="133"/>
      <c r="I52" s="133"/>
      <c r="J52" s="133"/>
      <c r="K52" s="133"/>
      <c r="L52" s="133"/>
      <c r="M52" s="133"/>
      <c r="N52" s="133"/>
      <c r="O52" s="133"/>
      <c r="P52" s="133"/>
      <c r="Q52" s="133"/>
      <c r="R52" s="133"/>
      <c r="S52" s="336"/>
      <c r="T52" s="336"/>
      <c r="U52" s="45"/>
      <c r="V52" s="45"/>
      <c r="W52" s="45"/>
      <c r="X52" s="45"/>
      <c r="Y52" s="45"/>
      <c r="Z52" s="45"/>
      <c r="AA52" s="56"/>
      <c r="AB52" s="56"/>
    </row>
    <row r="53" spans="2:28" s="1" customFormat="1" ht="14.1" customHeight="1">
      <c r="B53" s="45"/>
      <c r="C53" s="45"/>
      <c r="D53" s="133"/>
      <c r="E53" s="133"/>
      <c r="F53" s="133"/>
      <c r="G53" s="133"/>
      <c r="H53" s="133"/>
      <c r="I53" s="133"/>
      <c r="J53" s="133"/>
      <c r="K53" s="133"/>
      <c r="L53" s="133"/>
      <c r="M53" s="133"/>
      <c r="N53" s="133"/>
      <c r="O53" s="133"/>
      <c r="P53" s="133"/>
      <c r="Q53" s="133"/>
      <c r="R53" s="133"/>
      <c r="S53" s="45"/>
      <c r="T53" s="45"/>
      <c r="U53" s="48"/>
      <c r="V53" s="331" t="s">
        <v>43</v>
      </c>
      <c r="W53" s="331"/>
      <c r="X53" s="331"/>
      <c r="Y53" s="331"/>
      <c r="Z53" s="49">
        <f>Z51+Z44</f>
        <v>2016282.0401999999</v>
      </c>
      <c r="AA53" s="56" t="s">
        <v>45</v>
      </c>
      <c r="AB53" s="56"/>
    </row>
    <row r="54" spans="2:28" s="1" customFormat="1">
      <c r="B54" s="45"/>
      <c r="C54" s="45"/>
      <c r="D54" s="133"/>
      <c r="E54" s="133"/>
      <c r="F54" s="133"/>
      <c r="G54" s="133"/>
      <c r="H54" s="133"/>
      <c r="I54" s="133"/>
      <c r="J54" s="133"/>
      <c r="K54" s="133"/>
      <c r="L54" s="133"/>
      <c r="M54" s="133"/>
      <c r="N54" s="133"/>
      <c r="O54" s="133"/>
      <c r="P54" s="133"/>
      <c r="Q54" s="133"/>
      <c r="R54" s="133"/>
      <c r="S54" s="45"/>
      <c r="T54" s="45"/>
      <c r="U54" s="50"/>
      <c r="V54" s="45"/>
      <c r="W54" s="45"/>
      <c r="X54" s="45"/>
      <c r="Y54" s="45"/>
      <c r="Z54" s="45"/>
      <c r="AA54" s="56"/>
      <c r="AB54" s="56"/>
    </row>
    <row r="55" spans="2:28" s="1" customFormat="1" ht="14.1" customHeight="1">
      <c r="B55" s="45"/>
      <c r="C55" s="45"/>
      <c r="D55" s="133"/>
      <c r="E55" s="133"/>
      <c r="F55" s="133"/>
      <c r="G55" s="133"/>
      <c r="H55" s="133"/>
      <c r="I55" s="133"/>
      <c r="J55" s="133"/>
      <c r="K55" s="133"/>
      <c r="L55" s="133"/>
      <c r="M55" s="133"/>
      <c r="N55" s="133"/>
      <c r="O55" s="133"/>
      <c r="P55" s="133"/>
      <c r="Q55" s="133"/>
      <c r="R55" s="133"/>
      <c r="S55" s="45"/>
      <c r="T55" s="45"/>
      <c r="U55" s="51"/>
      <c r="V55" s="331" t="s">
        <v>44</v>
      </c>
      <c r="W55" s="331"/>
      <c r="X55" s="331"/>
      <c r="Y55" s="331"/>
      <c r="Z55" s="52">
        <v>1928507</v>
      </c>
      <c r="AA55" s="56"/>
      <c r="AB55" s="56"/>
    </row>
    <row r="56" spans="2:28" s="1" customFormat="1" ht="14.1" customHeight="1">
      <c r="B56" s="45"/>
      <c r="C56" s="45"/>
      <c r="D56" s="133"/>
      <c r="E56" s="133"/>
      <c r="F56" s="133"/>
      <c r="G56" s="133"/>
      <c r="H56" s="133"/>
      <c r="I56" s="133"/>
      <c r="J56" s="133"/>
      <c r="K56" s="133"/>
      <c r="L56" s="133"/>
      <c r="M56" s="133"/>
      <c r="N56" s="133"/>
      <c r="O56" s="133"/>
      <c r="P56" s="133"/>
      <c r="Q56" s="133"/>
      <c r="R56" s="133"/>
      <c r="S56" s="45"/>
      <c r="T56" s="45"/>
      <c r="U56" s="51"/>
      <c r="V56" s="54"/>
      <c r="W56" s="54"/>
      <c r="X56" s="54"/>
      <c r="Y56" s="54"/>
      <c r="Z56" s="55"/>
      <c r="AA56" s="56"/>
      <c r="AB56" s="56"/>
    </row>
    <row r="57" spans="2:28">
      <c r="V57" s="59" t="s">
        <v>46</v>
      </c>
      <c r="W57" s="59"/>
      <c r="X57" s="59"/>
      <c r="Y57" s="59"/>
      <c r="Z57" s="134">
        <f>+U44</f>
        <v>220992</v>
      </c>
    </row>
    <row r="58" spans="2:28">
      <c r="V58" t="s">
        <v>47</v>
      </c>
      <c r="Z58" s="53">
        <f>+U10</f>
        <v>234420</v>
      </c>
    </row>
    <row r="59" spans="2:28">
      <c r="V59" t="s">
        <v>48</v>
      </c>
      <c r="Z59" s="53">
        <f>+V44+W44+X44+Y44</f>
        <v>325056.62220000004</v>
      </c>
    </row>
    <row r="60" spans="2:28">
      <c r="V60" t="s">
        <v>49</v>
      </c>
      <c r="Z60" s="53">
        <f>+AA44</f>
        <v>137106.27777777778</v>
      </c>
    </row>
    <row r="61" spans="2:28" ht="14.7" thickBot="1"/>
    <row r="62" spans="2:28" ht="14.7" thickBot="1">
      <c r="Z62" s="58">
        <f>SUM(Z57:Z61)</f>
        <v>917574.89997777785</v>
      </c>
    </row>
    <row r="64" spans="2:28">
      <c r="Z64" s="53">
        <f>+Z55-Z62</f>
        <v>1010932.1000222221</v>
      </c>
    </row>
    <row r="66" spans="22:28">
      <c r="X66" t="s">
        <v>188</v>
      </c>
      <c r="Y66" t="s">
        <v>189</v>
      </c>
    </row>
    <row r="67" spans="22:28">
      <c r="X67" s="156" t="s">
        <v>178</v>
      </c>
      <c r="Y67" s="156" t="s">
        <v>179</v>
      </c>
      <c r="Z67" s="156" t="s">
        <v>190</v>
      </c>
    </row>
    <row r="68" spans="22:28">
      <c r="V68" s="158" t="s">
        <v>180</v>
      </c>
      <c r="X68" s="157">
        <f>AA10</f>
        <v>19535</v>
      </c>
      <c r="Y68" s="157">
        <v>0</v>
      </c>
      <c r="Z68" s="157">
        <f>X68+Y68</f>
        <v>19535</v>
      </c>
    </row>
    <row r="69" spans="22:28">
      <c r="V69" s="158" t="s">
        <v>181</v>
      </c>
      <c r="X69" s="157">
        <v>0</v>
      </c>
      <c r="Y69" s="157">
        <v>0</v>
      </c>
      <c r="Z69" s="157">
        <f t="shared" ref="Z69:Z76" si="20">X69+Y69</f>
        <v>0</v>
      </c>
    </row>
    <row r="70" spans="22:28">
      <c r="V70" s="158" t="s">
        <v>182</v>
      </c>
      <c r="X70" s="157">
        <f>U10</f>
        <v>234420</v>
      </c>
      <c r="Y70" s="157">
        <v>0</v>
      </c>
      <c r="Z70" s="157">
        <f t="shared" si="20"/>
        <v>234420</v>
      </c>
    </row>
    <row r="71" spans="22:28">
      <c r="V71" s="158" t="s">
        <v>183</v>
      </c>
      <c r="X71" s="157">
        <v>0</v>
      </c>
      <c r="Y71" s="157">
        <f>U12+U13+U14+U16+U18+U19+U20+U21+U22+U24+U25+U26+U27+U28+U29+U31+U32+U33+U34+U36+U37+U38+U40+U41+U42</f>
        <v>1531306</v>
      </c>
      <c r="Z71" s="157">
        <f t="shared" si="20"/>
        <v>1531306</v>
      </c>
    </row>
    <row r="72" spans="22:28">
      <c r="V72" s="158" t="s">
        <v>184</v>
      </c>
      <c r="X72" s="157">
        <f>V10</f>
        <v>23442</v>
      </c>
      <c r="Y72" s="157">
        <f>V12+V13+V14+V16+V18+V19+V20+V21+V22+V24+V25+V26+V27+V28+V29+V31+V32+V33+V34+V36+V37+V38+V40+V41+V42</f>
        <v>153130.6</v>
      </c>
      <c r="Z72" s="157">
        <f t="shared" si="20"/>
        <v>176572.6</v>
      </c>
    </row>
    <row r="73" spans="22:28">
      <c r="V73" s="158" t="s">
        <v>185</v>
      </c>
      <c r="X73" s="157">
        <f>W10</f>
        <v>4008.5820000000003</v>
      </c>
      <c r="Y73" s="157">
        <f>W12+W13+W14+W16+W18+W19+W20+W21+W22+W24+W25+W26+W27+W28+W29+W31+W32+W33+W34+W36+W37+W38+W40+W41+W42</f>
        <v>26185.332599999998</v>
      </c>
      <c r="Z73" s="157">
        <f t="shared" si="20"/>
        <v>30193.914599999996</v>
      </c>
    </row>
    <row r="74" spans="22:28">
      <c r="V74" s="158" t="s">
        <v>186</v>
      </c>
      <c r="X74" s="157">
        <f>X10</f>
        <v>7032.5999999999995</v>
      </c>
      <c r="Y74" s="157">
        <f>X12+X13+X14+X16+X18+X19+X20+X21+X22+X24+X25+X26+X27+X28+X29+X31+X32+X33+X34+X36+X37+X38+X40+X41+X42</f>
        <v>45939.179999999993</v>
      </c>
      <c r="Z74" s="157">
        <f t="shared" si="20"/>
        <v>52971.779999999992</v>
      </c>
    </row>
    <row r="75" spans="22:28">
      <c r="V75" s="158" t="s">
        <v>187</v>
      </c>
      <c r="X75" s="157">
        <f>Y10</f>
        <v>4688.4000000000005</v>
      </c>
      <c r="Y75" s="157">
        <f>Y12+Y13+Y14+Y16+Y18+Y19+Y20+Y21+Y22+Y24+Y25+Y26+Y27+Y28+Y29+Y31+Y32+Y33+Y34+Y36+Y37+Y38+Y40+Y41+Y42</f>
        <v>30626.120000000006</v>
      </c>
      <c r="Z75" s="157">
        <f t="shared" si="20"/>
        <v>35314.520000000004</v>
      </c>
    </row>
    <row r="76" spans="22:28">
      <c r="V76" s="158" t="s">
        <v>191</v>
      </c>
      <c r="X76" s="157"/>
      <c r="Y76" s="157">
        <f>AA12+AA13+AA14+AA16+AA18+AA19+AA20+AA21+AA22+AA24+AA25+AA27+AA26+AA28+AA29+AA31+AA32+AA33+AA34+AA36+AA37+AA38+AA40+AA41+AA42</f>
        <v>117571.2777777778</v>
      </c>
      <c r="Z76" s="157">
        <f t="shared" si="20"/>
        <v>117571.2777777778</v>
      </c>
    </row>
    <row r="77" spans="22:28">
      <c r="X77" s="157">
        <f>SUM(X68:X76)</f>
        <v>293126.58199999999</v>
      </c>
      <c r="Y77" s="157">
        <f>SUM(Y68:Y76)</f>
        <v>1904758.510377778</v>
      </c>
      <c r="Z77" s="157">
        <f>SUM(Z68:Z76)</f>
        <v>2197885.0923777781</v>
      </c>
      <c r="AA77" s="53">
        <v>1928507</v>
      </c>
      <c r="AB77" s="53">
        <f>Z77-AA77</f>
        <v>269378.09237777814</v>
      </c>
    </row>
    <row r="80" spans="22:28">
      <c r="X80" s="156"/>
      <c r="Y80" s="156"/>
      <c r="Z80" s="156"/>
    </row>
    <row r="81" spans="22:26">
      <c r="V81" s="158"/>
      <c r="X81" s="157"/>
      <c r="Y81" s="157"/>
      <c r="Z81" s="157"/>
    </row>
    <row r="82" spans="22:26">
      <c r="V82" s="158"/>
      <c r="X82" s="157"/>
      <c r="Y82" s="157"/>
      <c r="Z82" s="157"/>
    </row>
    <row r="83" spans="22:26">
      <c r="V83" s="158"/>
      <c r="X83" s="157"/>
      <c r="Y83" s="157"/>
      <c r="Z83" s="157"/>
    </row>
    <row r="84" spans="22:26">
      <c r="V84" s="158"/>
      <c r="X84" s="157"/>
      <c r="Y84" s="157"/>
      <c r="Z84" s="157"/>
    </row>
    <row r="85" spans="22:26">
      <c r="V85" s="158"/>
      <c r="X85" s="157"/>
      <c r="Y85" s="157"/>
      <c r="Z85" s="157"/>
    </row>
    <row r="86" spans="22:26">
      <c r="V86" s="158"/>
      <c r="X86" s="157"/>
      <c r="Y86" s="157"/>
      <c r="Z86" s="157"/>
    </row>
    <row r="87" spans="22:26">
      <c r="V87" s="158"/>
      <c r="X87" s="157"/>
      <c r="Y87" s="157"/>
      <c r="Z87" s="157"/>
    </row>
    <row r="88" spans="22:26">
      <c r="V88" s="158"/>
      <c r="X88" s="157"/>
      <c r="Y88" s="157"/>
      <c r="Z88" s="157"/>
    </row>
    <row r="89" spans="22:26">
      <c r="V89" s="158"/>
      <c r="X89" s="157"/>
      <c r="Y89" s="157"/>
      <c r="Z89" s="157"/>
    </row>
    <row r="90" spans="22:26">
      <c r="X90" s="157"/>
      <c r="Y90" s="157"/>
      <c r="Z90" s="157"/>
    </row>
  </sheetData>
  <mergeCells count="18">
    <mergeCell ref="AA5:AA6"/>
    <mergeCell ref="V51:Y51"/>
    <mergeCell ref="S52:T52"/>
    <mergeCell ref="B2:Z2"/>
    <mergeCell ref="V4:Y4"/>
    <mergeCell ref="B5:B6"/>
    <mergeCell ref="C5:C6"/>
    <mergeCell ref="D5:D6"/>
    <mergeCell ref="E5:E6"/>
    <mergeCell ref="F5:F6"/>
    <mergeCell ref="G5:R5"/>
    <mergeCell ref="S5:S6"/>
    <mergeCell ref="T5:T6"/>
    <mergeCell ref="V53:Y53"/>
    <mergeCell ref="V55:Y55"/>
    <mergeCell ref="U5:U6"/>
    <mergeCell ref="V5:Y5"/>
    <mergeCell ref="Z5:Z6"/>
  </mergeCells>
  <pageMargins left="0.51181102362204722" right="0.11811023622047245" top="0.35433070866141736" bottom="0.55118110236220474" header="0.31496062992125984" footer="0.31496062992125984"/>
  <pageSetup scale="60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F90"/>
  <sheetViews>
    <sheetView workbookViewId="0"/>
  </sheetViews>
  <sheetFormatPr baseColWidth="10" defaultRowHeight="14.4"/>
  <cols>
    <col min="1" max="1" width="4.89453125" customWidth="1"/>
    <col min="2" max="2" width="30.41796875" customWidth="1"/>
    <col min="3" max="3" width="5.41796875" customWidth="1"/>
    <col min="4" max="5" width="7.41796875" customWidth="1"/>
    <col min="6" max="6" width="9.5234375" customWidth="1"/>
    <col min="7" max="8" width="4.89453125" customWidth="1"/>
    <col min="9" max="18" width="4.5234375" customWidth="1"/>
    <col min="19" max="20" width="7.5234375" customWidth="1"/>
    <col min="21" max="21" width="14" customWidth="1"/>
    <col min="22" max="22" width="13.41796875" customWidth="1"/>
    <col min="23" max="23" width="11.5234375" customWidth="1"/>
    <col min="24" max="24" width="11.68359375" customWidth="1"/>
    <col min="25" max="25" width="12.41796875" customWidth="1"/>
    <col min="26" max="26" width="16" customWidth="1"/>
    <col min="27" max="27" width="17.3125" style="53" customWidth="1"/>
    <col min="28" max="28" width="15.5234375" style="53" customWidth="1"/>
  </cols>
  <sheetData>
    <row r="2" spans="1:28" s="1" customFormat="1" ht="51" customHeight="1">
      <c r="B2" s="337" t="s">
        <v>166</v>
      </c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337"/>
      <c r="P2" s="337"/>
      <c r="Q2" s="337"/>
      <c r="R2" s="337"/>
      <c r="S2" s="337"/>
      <c r="T2" s="337"/>
      <c r="U2" s="337"/>
      <c r="V2" s="337"/>
      <c r="W2" s="337"/>
      <c r="X2" s="337"/>
      <c r="Y2" s="337"/>
      <c r="Z2" s="337"/>
      <c r="AA2" s="56"/>
      <c r="AB2" s="56"/>
    </row>
    <row r="3" spans="1:28" s="1" customFormat="1">
      <c r="B3" s="2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AA3" s="56"/>
      <c r="AB3" s="56"/>
    </row>
    <row r="4" spans="1:28" s="1" customFormat="1">
      <c r="B4" s="4"/>
      <c r="C4" s="5"/>
      <c r="D4" s="5"/>
      <c r="E4" s="5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6"/>
      <c r="V4" s="338"/>
      <c r="W4" s="338"/>
      <c r="X4" s="338"/>
      <c r="Y4" s="338"/>
      <c r="AA4" s="56"/>
      <c r="AB4" s="56"/>
    </row>
    <row r="5" spans="1:28" s="1" customFormat="1" ht="13.35" customHeight="1">
      <c r="B5" s="332" t="s">
        <v>1</v>
      </c>
      <c r="C5" s="332" t="s">
        <v>2</v>
      </c>
      <c r="D5" s="339" t="s">
        <v>3</v>
      </c>
      <c r="E5" s="333" t="s">
        <v>4</v>
      </c>
      <c r="F5" s="332" t="s">
        <v>5</v>
      </c>
      <c r="G5" s="341" t="s">
        <v>6</v>
      </c>
      <c r="H5" s="342"/>
      <c r="I5" s="342"/>
      <c r="J5" s="342"/>
      <c r="K5" s="342"/>
      <c r="L5" s="342"/>
      <c r="M5" s="342"/>
      <c r="N5" s="342"/>
      <c r="O5" s="342"/>
      <c r="P5" s="342"/>
      <c r="Q5" s="342"/>
      <c r="R5" s="343"/>
      <c r="S5" s="332" t="s">
        <v>7</v>
      </c>
      <c r="T5" s="339" t="s">
        <v>8</v>
      </c>
      <c r="U5" s="332" t="s">
        <v>9</v>
      </c>
      <c r="V5" s="333" t="s">
        <v>10</v>
      </c>
      <c r="W5" s="333"/>
      <c r="X5" s="333"/>
      <c r="Y5" s="333"/>
      <c r="Z5" s="334" t="s">
        <v>50</v>
      </c>
      <c r="AA5" s="335" t="s">
        <v>51</v>
      </c>
      <c r="AB5" s="56"/>
    </row>
    <row r="6" spans="1:28" s="1" customFormat="1" ht="24.75" customHeight="1">
      <c r="B6" s="332"/>
      <c r="C6" s="332"/>
      <c r="D6" s="340"/>
      <c r="E6" s="333"/>
      <c r="F6" s="332"/>
      <c r="G6" s="135" t="s">
        <v>11</v>
      </c>
      <c r="H6" s="136" t="s">
        <v>12</v>
      </c>
      <c r="I6" s="136" t="s">
        <v>13</v>
      </c>
      <c r="J6" s="136" t="s">
        <v>14</v>
      </c>
      <c r="K6" s="136" t="s">
        <v>15</v>
      </c>
      <c r="L6" s="136" t="s">
        <v>16</v>
      </c>
      <c r="M6" s="136" t="s">
        <v>17</v>
      </c>
      <c r="N6" s="136" t="s">
        <v>18</v>
      </c>
      <c r="O6" s="136" t="s">
        <v>19</v>
      </c>
      <c r="P6" s="136" t="s">
        <v>20</v>
      </c>
      <c r="Q6" s="136" t="s">
        <v>21</v>
      </c>
      <c r="R6" s="136" t="s">
        <v>22</v>
      </c>
      <c r="S6" s="332"/>
      <c r="T6" s="340"/>
      <c r="U6" s="332"/>
      <c r="V6" s="137" t="s">
        <v>23</v>
      </c>
      <c r="W6" s="138" t="s">
        <v>24</v>
      </c>
      <c r="X6" s="138" t="s">
        <v>25</v>
      </c>
      <c r="Y6" s="138" t="s">
        <v>26</v>
      </c>
      <c r="Z6" s="334"/>
      <c r="AA6" s="335"/>
      <c r="AB6" s="56"/>
    </row>
    <row r="7" spans="1:28" s="1" customFormat="1">
      <c r="B7" s="4"/>
      <c r="C7" s="5"/>
      <c r="D7" s="5"/>
      <c r="E7" s="5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6"/>
      <c r="V7" s="6"/>
      <c r="W7" s="6"/>
      <c r="X7" s="6"/>
      <c r="Y7" s="6"/>
      <c r="Z7" s="8"/>
      <c r="AA7" s="56"/>
      <c r="AB7" s="56"/>
    </row>
    <row r="8" spans="1:28" s="1" customFormat="1">
      <c r="B8" s="139" t="s">
        <v>27</v>
      </c>
      <c r="C8" s="140"/>
      <c r="D8" s="140"/>
      <c r="E8" s="140"/>
      <c r="F8" s="141"/>
      <c r="G8" s="141"/>
      <c r="H8" s="141"/>
      <c r="I8" s="141"/>
      <c r="J8" s="141"/>
      <c r="K8" s="141"/>
      <c r="L8" s="141"/>
      <c r="M8" s="141"/>
      <c r="N8" s="141"/>
      <c r="O8" s="141"/>
      <c r="P8" s="141"/>
      <c r="Q8" s="141"/>
      <c r="R8" s="141"/>
      <c r="S8" s="141"/>
      <c r="T8" s="141"/>
      <c r="U8" s="141"/>
      <c r="V8" s="141"/>
      <c r="W8" s="141"/>
      <c r="X8" s="141"/>
      <c r="Y8" s="141"/>
      <c r="Z8" s="142"/>
      <c r="AA8" s="56"/>
      <c r="AB8" s="56"/>
    </row>
    <row r="9" spans="1:28" s="1" customFormat="1">
      <c r="B9" s="9"/>
      <c r="C9" s="10"/>
      <c r="D9" s="10"/>
      <c r="E9" s="10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2"/>
      <c r="AA9" s="56"/>
      <c r="AB9" s="56"/>
    </row>
    <row r="10" spans="1:28" s="1" customFormat="1">
      <c r="A10" s="1">
        <v>1</v>
      </c>
      <c r="B10" s="13" t="s">
        <v>28</v>
      </c>
      <c r="C10" s="14" t="s">
        <v>29</v>
      </c>
      <c r="D10" s="14">
        <v>2022</v>
      </c>
      <c r="E10" s="15" t="s">
        <v>30</v>
      </c>
      <c r="F10" s="16">
        <v>19535</v>
      </c>
      <c r="G10" s="17">
        <v>30</v>
      </c>
      <c r="H10" s="17">
        <v>30</v>
      </c>
      <c r="I10" s="17">
        <v>30</v>
      </c>
      <c r="J10" s="17">
        <v>30</v>
      </c>
      <c r="K10" s="17">
        <v>30</v>
      </c>
      <c r="L10" s="17">
        <v>30</v>
      </c>
      <c r="M10" s="17">
        <v>30</v>
      </c>
      <c r="N10" s="17">
        <v>30</v>
      </c>
      <c r="O10" s="17">
        <v>30</v>
      </c>
      <c r="P10" s="17">
        <v>30</v>
      </c>
      <c r="Q10" s="17">
        <v>30</v>
      </c>
      <c r="R10" s="17">
        <v>30</v>
      </c>
      <c r="S10" s="15">
        <f>SUM(G10:R10)</f>
        <v>360</v>
      </c>
      <c r="T10" s="18">
        <f>+S10/30</f>
        <v>12</v>
      </c>
      <c r="U10" s="16">
        <f>ROUND(PRODUCT(F10*T10),0)</f>
        <v>234420</v>
      </c>
      <c r="V10" s="16">
        <f>U10*0.1</f>
        <v>23442</v>
      </c>
      <c r="W10" s="16">
        <f>U10*0.0171</f>
        <v>4008.5820000000003</v>
      </c>
      <c r="X10" s="16">
        <f>U10*0.03</f>
        <v>7032.5999999999995</v>
      </c>
      <c r="Y10" s="19">
        <f>U10*0.02</f>
        <v>4688.4000000000005</v>
      </c>
      <c r="Z10" s="17">
        <f>SUM(U10:Y10)</f>
        <v>273591.58199999999</v>
      </c>
      <c r="AA10" s="56">
        <f>+F10*S10/360</f>
        <v>19535</v>
      </c>
      <c r="AB10" s="56">
        <f>+AA10+Z10</f>
        <v>293126.58199999999</v>
      </c>
    </row>
    <row r="11" spans="1:28" s="1" customFormat="1">
      <c r="B11" s="143" t="s">
        <v>31</v>
      </c>
      <c r="C11" s="144"/>
      <c r="D11" s="144"/>
      <c r="E11" s="145"/>
      <c r="F11" s="146"/>
      <c r="G11" s="146"/>
      <c r="H11" s="146"/>
      <c r="I11" s="146"/>
      <c r="J11" s="146"/>
      <c r="K11" s="146"/>
      <c r="L11" s="146"/>
      <c r="M11" s="146"/>
      <c r="N11" s="146"/>
      <c r="O11" s="146"/>
      <c r="P11" s="146"/>
      <c r="Q11" s="146"/>
      <c r="R11" s="146"/>
      <c r="S11" s="145"/>
      <c r="T11" s="147"/>
      <c r="U11" s="148"/>
      <c r="V11" s="149"/>
      <c r="W11" s="149"/>
      <c r="X11" s="149"/>
      <c r="Y11" s="150"/>
      <c r="Z11" s="149"/>
      <c r="AA11" s="56"/>
      <c r="AB11" s="56">
        <f t="shared" ref="AB11:AB43" si="0">+AA11+Z11</f>
        <v>0</v>
      </c>
    </row>
    <row r="12" spans="1:28" s="1" customFormat="1" ht="20.399999999999999">
      <c r="A12" s="1">
        <f>A10+1</f>
        <v>2</v>
      </c>
      <c r="B12" s="13" t="s">
        <v>218</v>
      </c>
      <c r="C12" s="14" t="s">
        <v>32</v>
      </c>
      <c r="D12" s="14">
        <v>2022</v>
      </c>
      <c r="E12" s="15" t="s">
        <v>30</v>
      </c>
      <c r="F12" s="16">
        <v>13738</v>
      </c>
      <c r="G12" s="17">
        <v>26</v>
      </c>
      <c r="H12" s="17">
        <v>30</v>
      </c>
      <c r="I12" s="17">
        <v>30</v>
      </c>
      <c r="J12" s="17">
        <v>30</v>
      </c>
      <c r="K12" s="17">
        <v>30</v>
      </c>
      <c r="L12" s="17">
        <v>30</v>
      </c>
      <c r="M12" s="17">
        <v>30</v>
      </c>
      <c r="N12" s="17">
        <v>30</v>
      </c>
      <c r="O12" s="17">
        <v>30</v>
      </c>
      <c r="P12" s="17">
        <v>30</v>
      </c>
      <c r="Q12" s="17">
        <v>30</v>
      </c>
      <c r="R12" s="17">
        <v>30</v>
      </c>
      <c r="S12" s="15">
        <f>SUM(G12:R12)</f>
        <v>356</v>
      </c>
      <c r="T12" s="18">
        <f t="shared" ref="T12:T29" si="1">+S12/30</f>
        <v>11.866666666666667</v>
      </c>
      <c r="U12" s="16">
        <f>ROUND(PRODUCT(F12*T12),0)</f>
        <v>163024</v>
      </c>
      <c r="V12" s="17">
        <f>U12*0.1</f>
        <v>16302.400000000001</v>
      </c>
      <c r="W12" s="17">
        <f>U12*0.0171</f>
        <v>2787.7103999999999</v>
      </c>
      <c r="X12" s="17">
        <f>U12*0.03</f>
        <v>4890.72</v>
      </c>
      <c r="Y12" s="19">
        <f>U12*0.02</f>
        <v>3260.48</v>
      </c>
      <c r="Z12" s="17">
        <f>SUM(U12:Y12)</f>
        <v>190265.31040000002</v>
      </c>
      <c r="AA12" s="56">
        <f>+F12*S12/360</f>
        <v>13585.355555555556</v>
      </c>
      <c r="AB12" s="56">
        <f t="shared" si="0"/>
        <v>203850.66595555557</v>
      </c>
    </row>
    <row r="13" spans="1:28" s="1" customFormat="1" ht="30.75" customHeight="1">
      <c r="A13" s="1">
        <f>A12+1</f>
        <v>3</v>
      </c>
      <c r="B13" s="13" t="s">
        <v>219</v>
      </c>
      <c r="C13" s="14" t="s">
        <v>32</v>
      </c>
      <c r="D13" s="14">
        <v>2022</v>
      </c>
      <c r="E13" s="15" t="s">
        <v>30</v>
      </c>
      <c r="F13" s="16">
        <v>5971</v>
      </c>
      <c r="G13" s="17">
        <v>0</v>
      </c>
      <c r="H13" s="17">
        <v>30</v>
      </c>
      <c r="I13" s="17">
        <v>30</v>
      </c>
      <c r="J13" s="17">
        <v>30</v>
      </c>
      <c r="K13" s="17">
        <v>30</v>
      </c>
      <c r="L13" s="17">
        <v>30</v>
      </c>
      <c r="M13" s="17">
        <v>30</v>
      </c>
      <c r="N13" s="17">
        <v>30</v>
      </c>
      <c r="O13" s="17">
        <v>30</v>
      </c>
      <c r="P13" s="17">
        <v>30</v>
      </c>
      <c r="Q13" s="17">
        <v>30</v>
      </c>
      <c r="R13" s="17">
        <v>30</v>
      </c>
      <c r="S13" s="15">
        <f t="shared" ref="S13:S42" si="2">SUM(G13:R13)</f>
        <v>330</v>
      </c>
      <c r="T13" s="18">
        <f t="shared" si="1"/>
        <v>11</v>
      </c>
      <c r="U13" s="16">
        <f>ROUND(PRODUCT(F13*T13),0)</f>
        <v>65681</v>
      </c>
      <c r="V13" s="17">
        <f>U13*0.1</f>
        <v>6568.1</v>
      </c>
      <c r="W13" s="17">
        <f>U13*0.0171</f>
        <v>1123.1451</v>
      </c>
      <c r="X13" s="17">
        <f>U13*0.03</f>
        <v>1970.4299999999998</v>
      </c>
      <c r="Y13" s="19">
        <f>U13*0.02</f>
        <v>1313.6200000000001</v>
      </c>
      <c r="Z13" s="17">
        <f>SUM(U13:Y13)</f>
        <v>76656.295099999988</v>
      </c>
      <c r="AA13" s="56">
        <f>+F13*S13/360</f>
        <v>5473.416666666667</v>
      </c>
      <c r="AB13" s="56">
        <f t="shared" si="0"/>
        <v>82129.71176666666</v>
      </c>
    </row>
    <row r="14" spans="1:28" s="1" customFormat="1">
      <c r="A14" s="1">
        <f>A13+1</f>
        <v>4</v>
      </c>
      <c r="B14" s="13" t="s">
        <v>220</v>
      </c>
      <c r="C14" s="27" t="s">
        <v>32</v>
      </c>
      <c r="D14" s="14">
        <v>2022</v>
      </c>
      <c r="E14" s="28" t="s">
        <v>30</v>
      </c>
      <c r="F14" s="29">
        <v>8689</v>
      </c>
      <c r="G14" s="30">
        <v>0</v>
      </c>
      <c r="H14" s="30">
        <v>0</v>
      </c>
      <c r="I14" s="30">
        <v>0</v>
      </c>
      <c r="J14" s="30">
        <v>0</v>
      </c>
      <c r="K14" s="30">
        <v>30</v>
      </c>
      <c r="L14" s="30">
        <v>30</v>
      </c>
      <c r="M14" s="30">
        <v>30</v>
      </c>
      <c r="N14" s="30">
        <v>30</v>
      </c>
      <c r="O14" s="30">
        <v>30</v>
      </c>
      <c r="P14" s="30">
        <v>30</v>
      </c>
      <c r="Q14" s="30">
        <v>30</v>
      </c>
      <c r="R14" s="30">
        <v>30</v>
      </c>
      <c r="S14" s="15">
        <f t="shared" si="2"/>
        <v>240</v>
      </c>
      <c r="T14" s="18">
        <f t="shared" si="1"/>
        <v>8</v>
      </c>
      <c r="U14" s="16">
        <f>ROUND(PRODUCT(F14*T14),0)</f>
        <v>69512</v>
      </c>
      <c r="V14" s="17">
        <f>U14*0.1</f>
        <v>6951.2000000000007</v>
      </c>
      <c r="W14" s="17">
        <f>U14*0.0171</f>
        <v>1188.6552000000001</v>
      </c>
      <c r="X14" s="17">
        <f>U14*0.03</f>
        <v>2085.36</v>
      </c>
      <c r="Y14" s="19">
        <f>U14*0.02</f>
        <v>1390.24</v>
      </c>
      <c r="Z14" s="17">
        <f>SUM(U14:Y14)</f>
        <v>81127.455199999997</v>
      </c>
      <c r="AA14" s="56">
        <f>+F14*S14/360</f>
        <v>5792.666666666667</v>
      </c>
      <c r="AB14" s="56">
        <f t="shared" si="0"/>
        <v>86920.121866666668</v>
      </c>
    </row>
    <row r="15" spans="1:28" s="1" customFormat="1">
      <c r="B15" s="151" t="s">
        <v>34</v>
      </c>
      <c r="C15" s="152"/>
      <c r="D15" s="152"/>
      <c r="E15" s="152"/>
      <c r="F15" s="152"/>
      <c r="G15" s="152"/>
      <c r="H15" s="152"/>
      <c r="I15" s="152"/>
      <c r="J15" s="152"/>
      <c r="K15" s="152"/>
      <c r="L15" s="152"/>
      <c r="M15" s="152"/>
      <c r="N15" s="152"/>
      <c r="O15" s="152"/>
      <c r="P15" s="152"/>
      <c r="Q15" s="152"/>
      <c r="R15" s="152"/>
      <c r="S15" s="152"/>
      <c r="T15" s="147"/>
      <c r="U15" s="148"/>
      <c r="V15" s="152"/>
      <c r="W15" s="152"/>
      <c r="X15" s="152"/>
      <c r="Y15" s="152"/>
      <c r="Z15" s="149"/>
      <c r="AA15" s="56"/>
      <c r="AB15" s="56">
        <f t="shared" si="0"/>
        <v>0</v>
      </c>
    </row>
    <row r="16" spans="1:28" s="1" customFormat="1">
      <c r="A16" s="1">
        <f>A14+1</f>
        <v>5</v>
      </c>
      <c r="B16" s="13" t="s">
        <v>221</v>
      </c>
      <c r="C16" s="14" t="s">
        <v>32</v>
      </c>
      <c r="D16" s="14">
        <v>2022</v>
      </c>
      <c r="E16" s="15" t="s">
        <v>30</v>
      </c>
      <c r="F16" s="29">
        <v>9282</v>
      </c>
      <c r="G16" s="17">
        <v>26</v>
      </c>
      <c r="H16" s="17">
        <v>30</v>
      </c>
      <c r="I16" s="17">
        <v>30</v>
      </c>
      <c r="J16" s="17">
        <v>0</v>
      </c>
      <c r="K16" s="17">
        <v>0</v>
      </c>
      <c r="L16" s="17">
        <v>0</v>
      </c>
      <c r="M16" s="17">
        <v>0</v>
      </c>
      <c r="N16" s="17">
        <v>0</v>
      </c>
      <c r="O16" s="17">
        <v>0</v>
      </c>
      <c r="P16" s="17">
        <v>0</v>
      </c>
      <c r="Q16" s="17">
        <v>30</v>
      </c>
      <c r="R16" s="17">
        <v>30</v>
      </c>
      <c r="S16" s="15">
        <f t="shared" si="2"/>
        <v>146</v>
      </c>
      <c r="T16" s="18">
        <f t="shared" si="1"/>
        <v>4.8666666666666663</v>
      </c>
      <c r="U16" s="16">
        <f>ROUND(PRODUCT(F16*T16),0)</f>
        <v>45172</v>
      </c>
      <c r="V16" s="17">
        <f>U16*0.1</f>
        <v>4517.2</v>
      </c>
      <c r="W16" s="17">
        <f>U16*0.0171</f>
        <v>772.44119999999998</v>
      </c>
      <c r="X16" s="17">
        <f>U16*0.03</f>
        <v>1355.1599999999999</v>
      </c>
      <c r="Y16" s="19">
        <f>U16*0.02</f>
        <v>903.44</v>
      </c>
      <c r="Z16" s="17">
        <f>SUM(U16:Y16)</f>
        <v>52720.241200000004</v>
      </c>
      <c r="AA16" s="56"/>
      <c r="AB16" s="56">
        <f t="shared" si="0"/>
        <v>52720.241200000004</v>
      </c>
    </row>
    <row r="17" spans="1:32" s="1" customFormat="1" ht="21">
      <c r="B17" s="143" t="s">
        <v>167</v>
      </c>
      <c r="C17" s="144"/>
      <c r="D17" s="144"/>
      <c r="E17" s="145"/>
      <c r="F17" s="146"/>
      <c r="G17" s="149"/>
      <c r="H17" s="149"/>
      <c r="I17" s="149"/>
      <c r="J17" s="149"/>
      <c r="K17" s="149"/>
      <c r="L17" s="149"/>
      <c r="M17" s="149"/>
      <c r="N17" s="149"/>
      <c r="O17" s="149"/>
      <c r="P17" s="149"/>
      <c r="Q17" s="149"/>
      <c r="R17" s="149"/>
      <c r="S17" s="145"/>
      <c r="T17" s="147"/>
      <c r="U17" s="146"/>
      <c r="V17" s="149"/>
      <c r="W17" s="149"/>
      <c r="X17" s="149"/>
      <c r="Y17" s="150"/>
      <c r="Z17" s="149"/>
      <c r="AA17" s="56"/>
      <c r="AB17" s="56"/>
    </row>
    <row r="18" spans="1:32" s="1" customFormat="1" ht="26.25" customHeight="1">
      <c r="A18" s="1">
        <f>A16+1</f>
        <v>6</v>
      </c>
      <c r="B18" s="13" t="s">
        <v>222</v>
      </c>
      <c r="C18" s="14" t="s">
        <v>32</v>
      </c>
      <c r="D18" s="14">
        <v>2022</v>
      </c>
      <c r="E18" s="15" t="s">
        <v>30</v>
      </c>
      <c r="F18" s="16">
        <v>13738</v>
      </c>
      <c r="G18" s="17">
        <v>26</v>
      </c>
      <c r="H18" s="17">
        <v>30</v>
      </c>
      <c r="I18" s="17">
        <v>30</v>
      </c>
      <c r="J18" s="17">
        <v>30</v>
      </c>
      <c r="K18" s="17">
        <v>30</v>
      </c>
      <c r="L18" s="17">
        <v>30</v>
      </c>
      <c r="M18" s="17">
        <v>30</v>
      </c>
      <c r="N18" s="17">
        <v>30</v>
      </c>
      <c r="O18" s="17">
        <v>30</v>
      </c>
      <c r="P18" s="17">
        <v>30</v>
      </c>
      <c r="Q18" s="17">
        <v>30</v>
      </c>
      <c r="R18" s="17">
        <v>30</v>
      </c>
      <c r="S18" s="15">
        <f t="shared" si="2"/>
        <v>356</v>
      </c>
      <c r="T18" s="18">
        <f>+S18/30</f>
        <v>11.866666666666667</v>
      </c>
      <c r="U18" s="16">
        <f>ROUND(PRODUCT(F18*T18),0)</f>
        <v>163024</v>
      </c>
      <c r="V18" s="17">
        <f>U18*0.1</f>
        <v>16302.400000000001</v>
      </c>
      <c r="W18" s="17">
        <f>U18*0.0171</f>
        <v>2787.7103999999999</v>
      </c>
      <c r="X18" s="17">
        <f>U18*0.03</f>
        <v>4890.72</v>
      </c>
      <c r="Y18" s="19">
        <f>U18*0.02</f>
        <v>3260.48</v>
      </c>
      <c r="Z18" s="17">
        <f>SUM(U18:Y18)</f>
        <v>190265.31040000002</v>
      </c>
      <c r="AA18" s="56">
        <f>+F18*S18/360</f>
        <v>13585.355555555556</v>
      </c>
      <c r="AB18" s="56">
        <f>+AA18+Z18</f>
        <v>203850.66595555557</v>
      </c>
    </row>
    <row r="19" spans="1:32" s="1" customFormat="1" ht="26.25" customHeight="1">
      <c r="A19" s="1">
        <f>A18+1</f>
        <v>7</v>
      </c>
      <c r="B19" s="13" t="s">
        <v>223</v>
      </c>
      <c r="C19" s="14" t="s">
        <v>32</v>
      </c>
      <c r="D19" s="14">
        <v>2022</v>
      </c>
      <c r="E19" s="15" t="s">
        <v>30</v>
      </c>
      <c r="F19" s="16">
        <v>8689</v>
      </c>
      <c r="G19" s="17">
        <v>0</v>
      </c>
      <c r="H19" s="17">
        <v>0</v>
      </c>
      <c r="I19" s="17">
        <v>0</v>
      </c>
      <c r="J19" s="17">
        <v>0</v>
      </c>
      <c r="K19" s="17">
        <v>0</v>
      </c>
      <c r="L19" s="17">
        <v>0</v>
      </c>
      <c r="M19" s="17">
        <v>0</v>
      </c>
      <c r="N19" s="17">
        <v>30</v>
      </c>
      <c r="O19" s="17">
        <v>30</v>
      </c>
      <c r="P19" s="17">
        <v>30</v>
      </c>
      <c r="Q19" s="17">
        <v>30</v>
      </c>
      <c r="R19" s="17">
        <v>30</v>
      </c>
      <c r="S19" s="15">
        <f t="shared" si="2"/>
        <v>150</v>
      </c>
      <c r="T19" s="18">
        <f>+S19/30</f>
        <v>5</v>
      </c>
      <c r="U19" s="16">
        <f>ROUND(PRODUCT(F19*T19),0)</f>
        <v>43445</v>
      </c>
      <c r="V19" s="17">
        <f>U19*0.1</f>
        <v>4344.5</v>
      </c>
      <c r="W19" s="17">
        <f>U19*0.0171</f>
        <v>742.90949999999998</v>
      </c>
      <c r="X19" s="17">
        <f>U19*0.03</f>
        <v>1303.3499999999999</v>
      </c>
      <c r="Y19" s="19">
        <f>U19*0.02</f>
        <v>868.9</v>
      </c>
      <c r="Z19" s="17">
        <f>SUM(U19:Y19)</f>
        <v>50704.659500000002</v>
      </c>
      <c r="AA19" s="56">
        <f>+F19*S19/360</f>
        <v>3620.4166666666665</v>
      </c>
      <c r="AB19" s="56"/>
    </row>
    <row r="20" spans="1:32" s="1" customFormat="1" ht="26.25" customHeight="1">
      <c r="A20" s="1">
        <f>A19+1</f>
        <v>8</v>
      </c>
      <c r="B20" s="159" t="s">
        <v>224</v>
      </c>
      <c r="C20" s="160" t="s">
        <v>207</v>
      </c>
      <c r="D20" s="160">
        <v>2022</v>
      </c>
      <c r="E20" s="161" t="s">
        <v>30</v>
      </c>
      <c r="F20" s="16">
        <v>8689</v>
      </c>
      <c r="G20" s="163">
        <v>26</v>
      </c>
      <c r="H20" s="163">
        <v>30</v>
      </c>
      <c r="I20" s="163">
        <v>30</v>
      </c>
      <c r="J20" s="163">
        <v>30</v>
      </c>
      <c r="K20" s="163">
        <v>30</v>
      </c>
      <c r="L20" s="163">
        <v>0</v>
      </c>
      <c r="M20" s="163">
        <v>0</v>
      </c>
      <c r="N20" s="163">
        <v>0</v>
      </c>
      <c r="O20" s="163">
        <v>0</v>
      </c>
      <c r="P20" s="163">
        <v>0</v>
      </c>
      <c r="Q20" s="163">
        <v>0</v>
      </c>
      <c r="R20" s="163">
        <v>0</v>
      </c>
      <c r="S20" s="161">
        <f t="shared" si="2"/>
        <v>146</v>
      </c>
      <c r="T20" s="164">
        <f>+S20/30</f>
        <v>4.8666666666666663</v>
      </c>
      <c r="U20" s="162">
        <f>ROUND(PRODUCT(F20*T20),0)</f>
        <v>42286</v>
      </c>
      <c r="V20" s="163">
        <f>U20*0.1</f>
        <v>4228.6000000000004</v>
      </c>
      <c r="W20" s="163">
        <f>U20*0.0171</f>
        <v>723.09059999999999</v>
      </c>
      <c r="X20" s="163">
        <f>U20*0.03</f>
        <v>1268.58</v>
      </c>
      <c r="Y20" s="165">
        <f>U20*0.02</f>
        <v>845.72</v>
      </c>
      <c r="Z20" s="163">
        <f>SUM(U20:Y20)</f>
        <v>49351.990600000005</v>
      </c>
      <c r="AA20" s="56">
        <f>+F20*S20/360</f>
        <v>3523.8722222222223</v>
      </c>
      <c r="AB20" s="56"/>
    </row>
    <row r="21" spans="1:32" s="1" customFormat="1" ht="26.25" customHeight="1">
      <c r="A21" s="1">
        <f>A20+1</f>
        <v>9</v>
      </c>
      <c r="B21" s="13" t="s">
        <v>225</v>
      </c>
      <c r="C21" s="14" t="s">
        <v>32</v>
      </c>
      <c r="D21" s="14">
        <v>2022</v>
      </c>
      <c r="E21" s="15" t="s">
        <v>30</v>
      </c>
      <c r="F21" s="16">
        <v>8689</v>
      </c>
      <c r="G21" s="17">
        <v>0</v>
      </c>
      <c r="H21" s="17">
        <v>0</v>
      </c>
      <c r="I21" s="17">
        <v>0</v>
      </c>
      <c r="J21" s="17">
        <v>0</v>
      </c>
      <c r="K21" s="17">
        <v>0</v>
      </c>
      <c r="L21" s="17">
        <v>0</v>
      </c>
      <c r="M21" s="17">
        <v>0</v>
      </c>
      <c r="N21" s="17">
        <v>30</v>
      </c>
      <c r="O21" s="17">
        <v>30</v>
      </c>
      <c r="P21" s="17">
        <v>30</v>
      </c>
      <c r="Q21" s="17">
        <v>30</v>
      </c>
      <c r="R21" s="17">
        <v>30</v>
      </c>
      <c r="S21" s="15">
        <f t="shared" si="2"/>
        <v>150</v>
      </c>
      <c r="T21" s="18">
        <f>+S21/30</f>
        <v>5</v>
      </c>
      <c r="U21" s="16">
        <f>ROUND(PRODUCT(F21*T21),0)</f>
        <v>43445</v>
      </c>
      <c r="V21" s="17">
        <f>U21*0.1</f>
        <v>4344.5</v>
      </c>
      <c r="W21" s="17">
        <f>U21*0.0171</f>
        <v>742.90949999999998</v>
      </c>
      <c r="X21" s="17">
        <f>U21*0.03</f>
        <v>1303.3499999999999</v>
      </c>
      <c r="Y21" s="19">
        <f>U21*0.02</f>
        <v>868.9</v>
      </c>
      <c r="Z21" s="17">
        <f>SUM(U21:Y21)</f>
        <v>50704.659500000002</v>
      </c>
      <c r="AA21" s="56">
        <f>+F21*S21/360</f>
        <v>3620.4166666666665</v>
      </c>
      <c r="AB21" s="56"/>
    </row>
    <row r="22" spans="1:32" s="1" customFormat="1" ht="26.25" customHeight="1">
      <c r="A22" s="1">
        <f>A21+1</f>
        <v>10</v>
      </c>
      <c r="B22" s="159" t="s">
        <v>226</v>
      </c>
      <c r="C22" s="160" t="s">
        <v>207</v>
      </c>
      <c r="D22" s="160">
        <v>2022</v>
      </c>
      <c r="E22" s="161" t="s">
        <v>30</v>
      </c>
      <c r="F22" s="16">
        <v>8689</v>
      </c>
      <c r="G22" s="163">
        <v>0</v>
      </c>
      <c r="H22" s="163">
        <v>0</v>
      </c>
      <c r="I22" s="163">
        <v>0</v>
      </c>
      <c r="J22" s="163">
        <v>0</v>
      </c>
      <c r="K22" s="163">
        <v>0</v>
      </c>
      <c r="L22" s="163">
        <v>0</v>
      </c>
      <c r="M22" s="163">
        <v>0</v>
      </c>
      <c r="N22" s="163">
        <v>30</v>
      </c>
      <c r="O22" s="163">
        <v>30</v>
      </c>
      <c r="P22" s="163">
        <v>30</v>
      </c>
      <c r="Q22" s="163">
        <v>30</v>
      </c>
      <c r="R22" s="163">
        <v>30</v>
      </c>
      <c r="S22" s="161">
        <f t="shared" si="2"/>
        <v>150</v>
      </c>
      <c r="T22" s="164">
        <f>+S22/30</f>
        <v>5</v>
      </c>
      <c r="U22" s="162">
        <f>ROUND(PRODUCT(F22*T22),0)</f>
        <v>43445</v>
      </c>
      <c r="V22" s="163">
        <f>U22*0.1</f>
        <v>4344.5</v>
      </c>
      <c r="W22" s="163">
        <f>U22*0.0171</f>
        <v>742.90949999999998</v>
      </c>
      <c r="X22" s="163">
        <f>U22*0.03</f>
        <v>1303.3499999999999</v>
      </c>
      <c r="Y22" s="165">
        <f>U22*0.02</f>
        <v>868.9</v>
      </c>
      <c r="Z22" s="163">
        <f>SUM(U22:Y22)</f>
        <v>50704.659500000002</v>
      </c>
      <c r="AA22" s="56">
        <f>+F22*S22/360</f>
        <v>3620.4166666666665</v>
      </c>
      <c r="AB22" s="56"/>
    </row>
    <row r="23" spans="1:32" s="1" customFormat="1" ht="25.5" customHeight="1">
      <c r="B23" s="143" t="s">
        <v>35</v>
      </c>
      <c r="C23" s="144"/>
      <c r="D23" s="144"/>
      <c r="E23" s="145"/>
      <c r="F23" s="146"/>
      <c r="G23" s="149"/>
      <c r="H23" s="146"/>
      <c r="I23" s="146"/>
      <c r="J23" s="146"/>
      <c r="K23" s="146"/>
      <c r="L23" s="146"/>
      <c r="M23" s="146"/>
      <c r="N23" s="146"/>
      <c r="O23" s="146"/>
      <c r="P23" s="146"/>
      <c r="Q23" s="146"/>
      <c r="R23" s="146"/>
      <c r="S23" s="145"/>
      <c r="T23" s="147"/>
      <c r="U23" s="148"/>
      <c r="V23" s="149"/>
      <c r="W23" s="149"/>
      <c r="X23" s="149"/>
      <c r="Y23" s="150"/>
      <c r="Z23" s="149"/>
      <c r="AA23" s="56"/>
      <c r="AB23" s="56">
        <f t="shared" si="0"/>
        <v>0</v>
      </c>
    </row>
    <row r="24" spans="1:32" s="1" customFormat="1" ht="26.25" customHeight="1">
      <c r="A24" s="1">
        <f>A22+1</f>
        <v>11</v>
      </c>
      <c r="B24" s="13" t="s">
        <v>227</v>
      </c>
      <c r="C24" s="14" t="s">
        <v>32</v>
      </c>
      <c r="D24" s="14">
        <v>2022</v>
      </c>
      <c r="E24" s="15" t="s">
        <v>30</v>
      </c>
      <c r="F24" s="16">
        <v>13738</v>
      </c>
      <c r="G24" s="17">
        <v>26</v>
      </c>
      <c r="H24" s="17">
        <v>30</v>
      </c>
      <c r="I24" s="17">
        <v>30</v>
      </c>
      <c r="J24" s="17">
        <v>30</v>
      </c>
      <c r="K24" s="17">
        <v>30</v>
      </c>
      <c r="L24" s="17">
        <v>30</v>
      </c>
      <c r="M24" s="17">
        <v>30</v>
      </c>
      <c r="N24" s="17">
        <v>30</v>
      </c>
      <c r="O24" s="17">
        <v>30</v>
      </c>
      <c r="P24" s="17">
        <v>30</v>
      </c>
      <c r="Q24" s="17">
        <v>30</v>
      </c>
      <c r="R24" s="17">
        <v>30</v>
      </c>
      <c r="S24" s="15">
        <f t="shared" si="2"/>
        <v>356</v>
      </c>
      <c r="T24" s="18">
        <f t="shared" si="1"/>
        <v>11.866666666666667</v>
      </c>
      <c r="U24" s="16">
        <f t="shared" ref="U24:U29" si="3">ROUND(PRODUCT(F24*T24),0)</f>
        <v>163024</v>
      </c>
      <c r="V24" s="17">
        <f t="shared" ref="V24:V29" si="4">U24*0.1</f>
        <v>16302.400000000001</v>
      </c>
      <c r="W24" s="17">
        <f t="shared" ref="W24:W29" si="5">U24*0.0171</f>
        <v>2787.7103999999999</v>
      </c>
      <c r="X24" s="17">
        <f t="shared" ref="X24:X29" si="6">U24*0.03</f>
        <v>4890.72</v>
      </c>
      <c r="Y24" s="19">
        <f t="shared" ref="Y24:Y29" si="7">U24*0.02</f>
        <v>3260.48</v>
      </c>
      <c r="Z24" s="17">
        <f t="shared" ref="Z24:Z29" si="8">SUM(U24:Y24)</f>
        <v>190265.31040000002</v>
      </c>
      <c r="AA24" s="56">
        <f t="shared" ref="AA24:AA29" si="9">+F24*S24/360</f>
        <v>13585.355555555556</v>
      </c>
      <c r="AB24" s="56">
        <f t="shared" si="0"/>
        <v>203850.66595555557</v>
      </c>
    </row>
    <row r="25" spans="1:32" s="1" customFormat="1" ht="29.25" customHeight="1">
      <c r="A25" s="1">
        <f>A24+1</f>
        <v>12</v>
      </c>
      <c r="B25" s="13" t="s">
        <v>36</v>
      </c>
      <c r="C25" s="14" t="s">
        <v>32</v>
      </c>
      <c r="D25" s="14">
        <v>2022</v>
      </c>
      <c r="E25" s="15" t="s">
        <v>30</v>
      </c>
      <c r="F25" s="16">
        <v>10173</v>
      </c>
      <c r="G25" s="17">
        <v>26</v>
      </c>
      <c r="H25" s="17">
        <v>30</v>
      </c>
      <c r="I25" s="17">
        <v>30</v>
      </c>
      <c r="J25" s="17">
        <v>30</v>
      </c>
      <c r="K25" s="17">
        <v>30</v>
      </c>
      <c r="L25" s="17">
        <v>30</v>
      </c>
      <c r="M25" s="17">
        <v>30</v>
      </c>
      <c r="N25" s="17">
        <v>30</v>
      </c>
      <c r="O25" s="17">
        <v>30</v>
      </c>
      <c r="P25" s="17">
        <v>30</v>
      </c>
      <c r="Q25" s="17">
        <v>30</v>
      </c>
      <c r="R25" s="17">
        <v>30</v>
      </c>
      <c r="S25" s="15">
        <f t="shared" si="2"/>
        <v>356</v>
      </c>
      <c r="T25" s="18">
        <f t="shared" si="1"/>
        <v>11.866666666666667</v>
      </c>
      <c r="U25" s="16">
        <f t="shared" si="3"/>
        <v>120720</v>
      </c>
      <c r="V25" s="17">
        <f t="shared" si="4"/>
        <v>12072</v>
      </c>
      <c r="W25" s="17">
        <f t="shared" si="5"/>
        <v>2064.3119999999999</v>
      </c>
      <c r="X25" s="17">
        <f t="shared" si="6"/>
        <v>3621.6</v>
      </c>
      <c r="Y25" s="19">
        <f t="shared" si="7"/>
        <v>2414.4</v>
      </c>
      <c r="Z25" s="17">
        <f t="shared" si="8"/>
        <v>140892.31200000001</v>
      </c>
      <c r="AA25" s="56">
        <f t="shared" si="9"/>
        <v>10059.966666666667</v>
      </c>
      <c r="AB25" s="56">
        <f t="shared" si="0"/>
        <v>150952.27866666668</v>
      </c>
    </row>
    <row r="26" spans="1:32" s="1" customFormat="1" ht="21" customHeight="1">
      <c r="A26" s="1">
        <f>A25+1</f>
        <v>13</v>
      </c>
      <c r="B26" s="13" t="s">
        <v>228</v>
      </c>
      <c r="C26" s="14" t="s">
        <v>32</v>
      </c>
      <c r="D26" s="14">
        <v>2022</v>
      </c>
      <c r="E26" s="15" t="s">
        <v>30</v>
      </c>
      <c r="F26" s="16">
        <v>5971</v>
      </c>
      <c r="G26" s="17">
        <v>0</v>
      </c>
      <c r="H26" s="17">
        <v>20</v>
      </c>
      <c r="I26" s="17">
        <v>30</v>
      </c>
      <c r="J26" s="30">
        <v>30</v>
      </c>
      <c r="K26" s="30">
        <v>30</v>
      </c>
      <c r="L26" s="30">
        <v>30</v>
      </c>
      <c r="M26" s="17">
        <v>30</v>
      </c>
      <c r="N26" s="17">
        <v>30</v>
      </c>
      <c r="O26" s="17">
        <v>30</v>
      </c>
      <c r="P26" s="17">
        <v>30</v>
      </c>
      <c r="Q26" s="17">
        <v>30</v>
      </c>
      <c r="R26" s="17">
        <v>30</v>
      </c>
      <c r="S26" s="15">
        <f t="shared" si="2"/>
        <v>320</v>
      </c>
      <c r="T26" s="18">
        <f t="shared" si="1"/>
        <v>10.666666666666666</v>
      </c>
      <c r="U26" s="16">
        <f t="shared" si="3"/>
        <v>63691</v>
      </c>
      <c r="V26" s="17">
        <f t="shared" si="4"/>
        <v>6369.1</v>
      </c>
      <c r="W26" s="17">
        <f t="shared" si="5"/>
        <v>1089.1161</v>
      </c>
      <c r="X26" s="17">
        <f t="shared" si="6"/>
        <v>1910.73</v>
      </c>
      <c r="Y26" s="19">
        <f t="shared" si="7"/>
        <v>1273.82</v>
      </c>
      <c r="Z26" s="17">
        <f t="shared" si="8"/>
        <v>74333.766100000008</v>
      </c>
      <c r="AA26" s="56">
        <f t="shared" si="9"/>
        <v>5307.5555555555557</v>
      </c>
      <c r="AB26" s="56">
        <f t="shared" si="0"/>
        <v>79641.32165555557</v>
      </c>
    </row>
    <row r="27" spans="1:32" s="1" customFormat="1">
      <c r="A27" s="1">
        <f>A26+1</f>
        <v>14</v>
      </c>
      <c r="B27" s="13" t="s">
        <v>201</v>
      </c>
      <c r="C27" s="14" t="s">
        <v>32</v>
      </c>
      <c r="D27" s="14">
        <v>2022</v>
      </c>
      <c r="E27" s="15" t="s">
        <v>30</v>
      </c>
      <c r="F27" s="16">
        <v>4009</v>
      </c>
      <c r="G27" s="17">
        <v>23</v>
      </c>
      <c r="H27" s="17">
        <v>30</v>
      </c>
      <c r="I27" s="17">
        <v>30</v>
      </c>
      <c r="J27" s="17">
        <v>30</v>
      </c>
      <c r="K27" s="17">
        <v>30</v>
      </c>
      <c r="L27" s="17">
        <v>30</v>
      </c>
      <c r="M27" s="17">
        <v>30</v>
      </c>
      <c r="N27" s="17">
        <v>30</v>
      </c>
      <c r="O27" s="17">
        <v>30</v>
      </c>
      <c r="P27" s="17">
        <v>30</v>
      </c>
      <c r="Q27" s="17">
        <v>30</v>
      </c>
      <c r="R27" s="17">
        <v>30</v>
      </c>
      <c r="S27" s="15">
        <f t="shared" si="2"/>
        <v>353</v>
      </c>
      <c r="T27" s="18">
        <f>+S27/30</f>
        <v>11.766666666666667</v>
      </c>
      <c r="U27" s="16">
        <f t="shared" si="3"/>
        <v>47173</v>
      </c>
      <c r="V27" s="17">
        <f>U27*0.1</f>
        <v>4717.3</v>
      </c>
      <c r="W27" s="17">
        <f>U27*0.0171</f>
        <v>806.65830000000005</v>
      </c>
      <c r="X27" s="17">
        <f>U27*0.03</f>
        <v>1415.19</v>
      </c>
      <c r="Y27" s="19">
        <f>U27*0.02</f>
        <v>943.46</v>
      </c>
      <c r="Z27" s="17">
        <f>SUM(U27:Y27)</f>
        <v>55055.608300000007</v>
      </c>
      <c r="AA27" s="56">
        <f t="shared" si="9"/>
        <v>3931.0472222222224</v>
      </c>
      <c r="AB27" s="56">
        <f>+AA27+Z27</f>
        <v>58986.655522222231</v>
      </c>
    </row>
    <row r="28" spans="1:32" s="1" customFormat="1" ht="23.25" customHeight="1">
      <c r="A28" s="1">
        <f>A27+1</f>
        <v>15</v>
      </c>
      <c r="B28" s="13" t="s">
        <v>232</v>
      </c>
      <c r="C28" s="14" t="s">
        <v>32</v>
      </c>
      <c r="D28" s="14">
        <v>2022</v>
      </c>
      <c r="E28" s="15" t="s">
        <v>30</v>
      </c>
      <c r="F28" s="16">
        <v>5494</v>
      </c>
      <c r="G28" s="17">
        <v>26</v>
      </c>
      <c r="H28" s="17">
        <v>30</v>
      </c>
      <c r="I28" s="17">
        <v>30</v>
      </c>
      <c r="J28" s="17">
        <v>30</v>
      </c>
      <c r="K28" s="17">
        <v>30</v>
      </c>
      <c r="L28" s="17">
        <v>30</v>
      </c>
      <c r="M28" s="17">
        <v>30</v>
      </c>
      <c r="N28" s="17">
        <v>30</v>
      </c>
      <c r="O28" s="17">
        <v>30</v>
      </c>
      <c r="P28" s="17">
        <v>30</v>
      </c>
      <c r="Q28" s="17">
        <v>30</v>
      </c>
      <c r="R28" s="17">
        <v>30</v>
      </c>
      <c r="S28" s="15">
        <f t="shared" si="2"/>
        <v>356</v>
      </c>
      <c r="T28" s="18">
        <f t="shared" si="1"/>
        <v>11.866666666666667</v>
      </c>
      <c r="U28" s="16">
        <f t="shared" si="3"/>
        <v>65195</v>
      </c>
      <c r="V28" s="17">
        <f t="shared" si="4"/>
        <v>6519.5</v>
      </c>
      <c r="W28" s="17">
        <f t="shared" si="5"/>
        <v>1114.8344999999999</v>
      </c>
      <c r="X28" s="17">
        <f t="shared" si="6"/>
        <v>1955.85</v>
      </c>
      <c r="Y28" s="19">
        <f t="shared" si="7"/>
        <v>1303.9000000000001</v>
      </c>
      <c r="Z28" s="17">
        <f t="shared" si="8"/>
        <v>76089.084499999997</v>
      </c>
      <c r="AA28" s="56">
        <f t="shared" si="9"/>
        <v>5432.9555555555553</v>
      </c>
      <c r="AB28" s="56">
        <f t="shared" si="0"/>
        <v>81522.040055555553</v>
      </c>
    </row>
    <row r="29" spans="1:32" s="1" customFormat="1" ht="23.25" customHeight="1">
      <c r="A29" s="1">
        <f>A28+1</f>
        <v>16</v>
      </c>
      <c r="B29" s="13" t="s">
        <v>233</v>
      </c>
      <c r="C29" s="14" t="s">
        <v>32</v>
      </c>
      <c r="D29" s="14">
        <v>2022</v>
      </c>
      <c r="E29" s="15" t="s">
        <v>30</v>
      </c>
      <c r="F29" s="16">
        <v>4827</v>
      </c>
      <c r="G29" s="17">
        <v>0</v>
      </c>
      <c r="H29" s="17">
        <v>30</v>
      </c>
      <c r="I29" s="17">
        <v>30</v>
      </c>
      <c r="J29" s="17">
        <v>30</v>
      </c>
      <c r="K29" s="17">
        <v>30</v>
      </c>
      <c r="L29" s="17">
        <v>30</v>
      </c>
      <c r="M29" s="17">
        <v>0</v>
      </c>
      <c r="N29" s="17">
        <v>0</v>
      </c>
      <c r="O29" s="17">
        <v>0</v>
      </c>
      <c r="P29" s="17">
        <v>0</v>
      </c>
      <c r="Q29" s="17">
        <v>0</v>
      </c>
      <c r="R29" s="17">
        <v>0</v>
      </c>
      <c r="S29" s="15">
        <f t="shared" si="2"/>
        <v>150</v>
      </c>
      <c r="T29" s="18">
        <f t="shared" si="1"/>
        <v>5</v>
      </c>
      <c r="U29" s="16">
        <f t="shared" si="3"/>
        <v>24135</v>
      </c>
      <c r="V29" s="17">
        <f t="shared" si="4"/>
        <v>2413.5</v>
      </c>
      <c r="W29" s="17">
        <f t="shared" si="5"/>
        <v>412.70850000000002</v>
      </c>
      <c r="X29" s="17">
        <f t="shared" si="6"/>
        <v>724.05</v>
      </c>
      <c r="Y29" s="19">
        <f t="shared" si="7"/>
        <v>482.7</v>
      </c>
      <c r="Z29" s="17">
        <f t="shared" si="8"/>
        <v>28167.958500000001</v>
      </c>
      <c r="AA29" s="56">
        <f t="shared" si="9"/>
        <v>2011.25</v>
      </c>
      <c r="AB29" s="56">
        <f t="shared" si="0"/>
        <v>30179.208500000001</v>
      </c>
    </row>
    <row r="30" spans="1:32" s="1" customFormat="1" ht="28.5" customHeight="1">
      <c r="B30" s="143" t="s">
        <v>38</v>
      </c>
      <c r="C30" s="153"/>
      <c r="D30" s="154"/>
      <c r="E30" s="154"/>
      <c r="F30" s="154"/>
      <c r="G30" s="154"/>
      <c r="H30" s="154"/>
      <c r="I30" s="154"/>
      <c r="J30" s="154"/>
      <c r="K30" s="154"/>
      <c r="L30" s="154"/>
      <c r="M30" s="154"/>
      <c r="N30" s="154"/>
      <c r="O30" s="154"/>
      <c r="P30" s="154"/>
      <c r="Q30" s="154"/>
      <c r="R30" s="154"/>
      <c r="S30" s="154"/>
      <c r="T30" s="154"/>
      <c r="U30" s="146"/>
      <c r="V30" s="154"/>
      <c r="W30" s="154"/>
      <c r="X30" s="154"/>
      <c r="Y30" s="154"/>
      <c r="Z30" s="149"/>
      <c r="AA30" s="56"/>
      <c r="AB30" s="56">
        <f>+AA30+Z30</f>
        <v>0</v>
      </c>
    </row>
    <row r="31" spans="1:32" s="1" customFormat="1" ht="33.75" customHeight="1">
      <c r="A31" s="1">
        <f>A29+1</f>
        <v>17</v>
      </c>
      <c r="B31" s="13" t="s">
        <v>229</v>
      </c>
      <c r="C31" s="14" t="s">
        <v>32</v>
      </c>
      <c r="D31" s="14">
        <v>2022</v>
      </c>
      <c r="E31" s="15" t="s">
        <v>30</v>
      </c>
      <c r="F31" s="16">
        <v>13738</v>
      </c>
      <c r="G31" s="17">
        <v>20</v>
      </c>
      <c r="H31" s="17">
        <v>30</v>
      </c>
      <c r="I31" s="17">
        <v>30</v>
      </c>
      <c r="J31" s="17">
        <v>30</v>
      </c>
      <c r="K31" s="17">
        <v>30</v>
      </c>
      <c r="L31" s="17">
        <v>30</v>
      </c>
      <c r="M31" s="17">
        <v>30</v>
      </c>
      <c r="N31" s="17">
        <v>30</v>
      </c>
      <c r="O31" s="17">
        <v>30</v>
      </c>
      <c r="P31" s="17">
        <v>30</v>
      </c>
      <c r="Q31" s="17">
        <v>30</v>
      </c>
      <c r="R31" s="17">
        <v>30</v>
      </c>
      <c r="S31" s="15">
        <f t="shared" si="2"/>
        <v>350</v>
      </c>
      <c r="T31" s="18">
        <f>+S31/30</f>
        <v>11.666666666666666</v>
      </c>
      <c r="U31" s="16">
        <f>ROUND(PRODUCT(F31*T31),0)</f>
        <v>160277</v>
      </c>
      <c r="V31" s="17">
        <f>U31*0.1</f>
        <v>16027.7</v>
      </c>
      <c r="W31" s="17">
        <f>U31*0.0171</f>
        <v>2740.7366999999999</v>
      </c>
      <c r="X31" s="17">
        <f>U31*0.03</f>
        <v>4808.3099999999995</v>
      </c>
      <c r="Y31" s="19">
        <f>U31*0.02</f>
        <v>3205.54</v>
      </c>
      <c r="Z31" s="17">
        <f>SUM(U31:Y31)</f>
        <v>187059.28670000003</v>
      </c>
      <c r="AA31" s="56">
        <f>+F31*S31/360</f>
        <v>13356.388888888889</v>
      </c>
      <c r="AB31" s="56">
        <f>+AA31+Z31</f>
        <v>200415.6755888889</v>
      </c>
    </row>
    <row r="32" spans="1:32" s="173" customFormat="1" ht="29.25" customHeight="1">
      <c r="A32" s="173">
        <f>A31+1</f>
        <v>18</v>
      </c>
      <c r="B32" s="13" t="s">
        <v>234</v>
      </c>
      <c r="C32" s="14" t="s">
        <v>207</v>
      </c>
      <c r="D32" s="14">
        <v>2022</v>
      </c>
      <c r="E32" s="15" t="s">
        <v>30</v>
      </c>
      <c r="F32" s="16">
        <v>9282</v>
      </c>
      <c r="G32" s="17">
        <v>0</v>
      </c>
      <c r="H32" s="17">
        <v>30</v>
      </c>
      <c r="I32" s="17">
        <v>30</v>
      </c>
      <c r="J32" s="17">
        <v>30</v>
      </c>
      <c r="K32" s="17">
        <v>0</v>
      </c>
      <c r="L32" s="17">
        <v>0</v>
      </c>
      <c r="M32" s="17">
        <v>0</v>
      </c>
      <c r="N32" s="17">
        <v>0</v>
      </c>
      <c r="O32" s="17">
        <v>0</v>
      </c>
      <c r="P32" s="17">
        <v>0</v>
      </c>
      <c r="Q32" s="17">
        <v>0</v>
      </c>
      <c r="R32" s="17">
        <v>0</v>
      </c>
      <c r="S32" s="15">
        <f t="shared" si="2"/>
        <v>90</v>
      </c>
      <c r="T32" s="18">
        <f>+S32/30</f>
        <v>3</v>
      </c>
      <c r="U32" s="16">
        <f>ROUND(PRODUCT(F32*T32),0)</f>
        <v>27846</v>
      </c>
      <c r="V32" s="17">
        <f>U32*0.1</f>
        <v>2784.6000000000004</v>
      </c>
      <c r="W32" s="17">
        <f>U32*0.0171</f>
        <v>476.16660000000002</v>
      </c>
      <c r="X32" s="17">
        <f>U32*0.03</f>
        <v>835.38</v>
      </c>
      <c r="Y32" s="19">
        <f>U32*0.02</f>
        <v>556.91999999999996</v>
      </c>
      <c r="Z32" s="17">
        <f>SUM(U32:Y32)</f>
        <v>32499.066599999998</v>
      </c>
      <c r="AA32" s="174">
        <f>+F32*S32/360</f>
        <v>2320.5</v>
      </c>
      <c r="AB32" s="174">
        <f>+AA32+Z32</f>
        <v>34819.566599999998</v>
      </c>
      <c r="AF32" s="173">
        <v>20</v>
      </c>
    </row>
    <row r="33" spans="1:32" s="173" customFormat="1" ht="29.25" customHeight="1">
      <c r="A33" s="173">
        <f>A32+1</f>
        <v>19</v>
      </c>
      <c r="B33" s="13" t="s">
        <v>235</v>
      </c>
      <c r="C33" s="14" t="s">
        <v>207</v>
      </c>
      <c r="D33" s="14">
        <v>2022</v>
      </c>
      <c r="E33" s="15" t="s">
        <v>30</v>
      </c>
      <c r="F33" s="16">
        <v>9282</v>
      </c>
      <c r="G33" s="17">
        <v>0</v>
      </c>
      <c r="H33" s="17">
        <v>30</v>
      </c>
      <c r="I33" s="17">
        <v>30</v>
      </c>
      <c r="J33" s="17">
        <v>0</v>
      </c>
      <c r="K33" s="17">
        <v>0</v>
      </c>
      <c r="L33" s="17">
        <v>0</v>
      </c>
      <c r="M33" s="17">
        <v>0</v>
      </c>
      <c r="N33" s="17">
        <v>0</v>
      </c>
      <c r="O33" s="17">
        <v>0</v>
      </c>
      <c r="P33" s="17">
        <v>0</v>
      </c>
      <c r="Q33" s="17">
        <v>0</v>
      </c>
      <c r="R33" s="17">
        <v>0</v>
      </c>
      <c r="S33" s="15">
        <f t="shared" si="2"/>
        <v>60</v>
      </c>
      <c r="T33" s="18">
        <f>+S33/30</f>
        <v>2</v>
      </c>
      <c r="U33" s="16">
        <f>ROUND(PRODUCT(F33*T33),0)</f>
        <v>18564</v>
      </c>
      <c r="V33" s="17">
        <f>U33*0.1</f>
        <v>1856.4</v>
      </c>
      <c r="W33" s="17">
        <f>U33*0.0171</f>
        <v>317.44440000000003</v>
      </c>
      <c r="X33" s="17">
        <f>U33*0.03</f>
        <v>556.91999999999996</v>
      </c>
      <c r="Y33" s="19">
        <f>U33*0.02</f>
        <v>371.28000000000003</v>
      </c>
      <c r="Z33" s="17">
        <f>SUM(U33:Y33)</f>
        <v>21666.044399999999</v>
      </c>
      <c r="AA33" s="174">
        <f>+F33*S33/360</f>
        <v>1547</v>
      </c>
      <c r="AB33" s="174"/>
    </row>
    <row r="34" spans="1:32" s="1" customFormat="1" ht="26.25" customHeight="1">
      <c r="A34" s="1">
        <f>A33+1</f>
        <v>20</v>
      </c>
      <c r="B34" s="13" t="s">
        <v>236</v>
      </c>
      <c r="C34" s="14" t="s">
        <v>32</v>
      </c>
      <c r="D34" s="14">
        <v>2022</v>
      </c>
      <c r="E34" s="15" t="s">
        <v>30</v>
      </c>
      <c r="F34" s="16">
        <v>4529</v>
      </c>
      <c r="G34" s="17">
        <v>0</v>
      </c>
      <c r="H34" s="17">
        <v>30</v>
      </c>
      <c r="I34" s="17">
        <v>30</v>
      </c>
      <c r="J34" s="17">
        <v>30</v>
      </c>
      <c r="K34" s="17">
        <v>30</v>
      </c>
      <c r="L34" s="17">
        <v>30</v>
      </c>
      <c r="M34" s="17">
        <v>0</v>
      </c>
      <c r="N34" s="17">
        <v>0</v>
      </c>
      <c r="O34" s="17">
        <v>0</v>
      </c>
      <c r="P34" s="17">
        <v>0</v>
      </c>
      <c r="Q34" s="17">
        <v>0</v>
      </c>
      <c r="R34" s="17">
        <v>0</v>
      </c>
      <c r="S34" s="15">
        <f t="shared" si="2"/>
        <v>150</v>
      </c>
      <c r="T34" s="18">
        <f>+S34/30</f>
        <v>5</v>
      </c>
      <c r="U34" s="16">
        <f>ROUND(PRODUCT(F34*T34),0)</f>
        <v>22645</v>
      </c>
      <c r="V34" s="17">
        <f>U34*0.1</f>
        <v>2264.5</v>
      </c>
      <c r="W34" s="17">
        <f>U34*0.0171</f>
        <v>387.22950000000003</v>
      </c>
      <c r="X34" s="17">
        <f>U34*0.03</f>
        <v>679.35</v>
      </c>
      <c r="Y34" s="19">
        <f>U34*0.02</f>
        <v>452.90000000000003</v>
      </c>
      <c r="Z34" s="17">
        <f>SUM(U34:Y34)</f>
        <v>26428.979500000001</v>
      </c>
      <c r="AA34" s="56">
        <f>+F34*S34/360</f>
        <v>1887.0833333333333</v>
      </c>
      <c r="AB34" s="56">
        <f>+AA34+Z34</f>
        <v>28316.062833333333</v>
      </c>
      <c r="AF34" s="1">
        <v>30</v>
      </c>
    </row>
    <row r="35" spans="1:32" s="1" customFormat="1" ht="26.25" customHeight="1">
      <c r="B35" s="139" t="s">
        <v>39</v>
      </c>
      <c r="C35" s="144"/>
      <c r="D35" s="144"/>
      <c r="E35" s="145"/>
      <c r="F35" s="146"/>
      <c r="G35" s="146"/>
      <c r="H35" s="146"/>
      <c r="I35" s="146"/>
      <c r="J35" s="146"/>
      <c r="K35" s="146"/>
      <c r="L35" s="146"/>
      <c r="M35" s="146"/>
      <c r="N35" s="146"/>
      <c r="O35" s="146"/>
      <c r="P35" s="146"/>
      <c r="Q35" s="146"/>
      <c r="R35" s="146"/>
      <c r="S35" s="145"/>
      <c r="T35" s="145"/>
      <c r="U35" s="146"/>
      <c r="V35" s="149"/>
      <c r="W35" s="149"/>
      <c r="X35" s="149"/>
      <c r="Y35" s="150"/>
      <c r="Z35" s="149"/>
      <c r="AA35" s="56"/>
      <c r="AB35" s="56">
        <f>+AA35+Z35</f>
        <v>0</v>
      </c>
      <c r="AF35" s="1">
        <v>30</v>
      </c>
    </row>
    <row r="36" spans="1:32" s="1" customFormat="1" ht="29.25" customHeight="1">
      <c r="A36" s="1">
        <f>A34+1</f>
        <v>21</v>
      </c>
      <c r="B36" s="13" t="s">
        <v>230</v>
      </c>
      <c r="C36" s="14" t="s">
        <v>32</v>
      </c>
      <c r="D36" s="14">
        <v>2022</v>
      </c>
      <c r="E36" s="15" t="s">
        <v>30</v>
      </c>
      <c r="F36" s="16">
        <v>13738</v>
      </c>
      <c r="G36" s="17">
        <v>25</v>
      </c>
      <c r="H36" s="17">
        <v>30</v>
      </c>
      <c r="I36" s="17">
        <v>30</v>
      </c>
      <c r="J36" s="17">
        <v>30</v>
      </c>
      <c r="K36" s="17">
        <v>30</v>
      </c>
      <c r="L36" s="17">
        <v>30</v>
      </c>
      <c r="M36" s="17">
        <v>30</v>
      </c>
      <c r="N36" s="17">
        <v>30</v>
      </c>
      <c r="O36" s="17">
        <v>30</v>
      </c>
      <c r="P36" s="17">
        <v>30</v>
      </c>
      <c r="Q36" s="17">
        <v>30</v>
      </c>
      <c r="R36" s="17">
        <v>30</v>
      </c>
      <c r="S36" s="15">
        <f t="shared" si="2"/>
        <v>355</v>
      </c>
      <c r="T36" s="18">
        <f>+S36/30</f>
        <v>11.833333333333334</v>
      </c>
      <c r="U36" s="16">
        <f>ROUND(PRODUCT(F36*T36),0)</f>
        <v>162566</v>
      </c>
      <c r="V36" s="17">
        <f>U36*0.1</f>
        <v>16256.6</v>
      </c>
      <c r="W36" s="17">
        <f>U36*0.0171</f>
        <v>2779.8786</v>
      </c>
      <c r="X36" s="17">
        <f>U36*0.03</f>
        <v>4876.9799999999996</v>
      </c>
      <c r="Y36" s="19">
        <f>U36*0.02</f>
        <v>3251.32</v>
      </c>
      <c r="Z36" s="17">
        <f>SUM(U36:Y36)</f>
        <v>189730.77860000002</v>
      </c>
      <c r="AA36" s="56">
        <f>+F36*S36/360</f>
        <v>13547.194444444445</v>
      </c>
      <c r="AB36" s="56">
        <f>+AA36+Z36</f>
        <v>203277.97304444446</v>
      </c>
      <c r="AF36" s="1">
        <v>10</v>
      </c>
    </row>
    <row r="37" spans="1:32" s="1" customFormat="1" ht="23.25" customHeight="1">
      <c r="A37" s="1">
        <f>A36+1</f>
        <v>22</v>
      </c>
      <c r="B37" s="13" t="s">
        <v>237</v>
      </c>
      <c r="C37" s="14" t="s">
        <v>32</v>
      </c>
      <c r="D37" s="14">
        <v>2022</v>
      </c>
      <c r="E37" s="15" t="s">
        <v>30</v>
      </c>
      <c r="F37" s="16">
        <v>9282</v>
      </c>
      <c r="G37" s="17">
        <v>0</v>
      </c>
      <c r="H37" s="17">
        <v>20</v>
      </c>
      <c r="I37" s="17">
        <v>30</v>
      </c>
      <c r="J37" s="17">
        <v>30</v>
      </c>
      <c r="K37" s="17">
        <v>30</v>
      </c>
      <c r="L37" s="17">
        <v>30</v>
      </c>
      <c r="M37" s="17">
        <v>0</v>
      </c>
      <c r="N37" s="17">
        <v>0</v>
      </c>
      <c r="O37" s="17">
        <v>0</v>
      </c>
      <c r="P37" s="17">
        <v>0</v>
      </c>
      <c r="Q37" s="17">
        <v>0</v>
      </c>
      <c r="R37" s="17">
        <v>0</v>
      </c>
      <c r="S37" s="15">
        <f t="shared" si="2"/>
        <v>140</v>
      </c>
      <c r="T37" s="18">
        <f>+S37/30</f>
        <v>4.666666666666667</v>
      </c>
      <c r="U37" s="16">
        <f>ROUND(PRODUCT(F37*T37),0)</f>
        <v>43316</v>
      </c>
      <c r="V37" s="17">
        <f>U37*0.1</f>
        <v>4331.6000000000004</v>
      </c>
      <c r="W37" s="17">
        <f>U37*0.0171</f>
        <v>740.70360000000005</v>
      </c>
      <c r="X37" s="17">
        <f>U37*0.03</f>
        <v>1299.48</v>
      </c>
      <c r="Y37" s="19">
        <f>U37*0.02</f>
        <v>866.32</v>
      </c>
      <c r="Z37" s="17">
        <f>SUM(U37:Y37)</f>
        <v>50554.103600000002</v>
      </c>
      <c r="AA37" s="56">
        <f>+F37*S37/360</f>
        <v>3609.6666666666665</v>
      </c>
      <c r="AB37" s="56">
        <f>+AA37+Z37</f>
        <v>54163.770266666666</v>
      </c>
      <c r="AF37" s="1">
        <f>SUM(AF32:AF36)</f>
        <v>90</v>
      </c>
    </row>
    <row r="38" spans="1:32" s="1" customFormat="1" ht="23.25" customHeight="1">
      <c r="A38" s="1">
        <f>A37+1</f>
        <v>23</v>
      </c>
      <c r="B38" s="159" t="s">
        <v>238</v>
      </c>
      <c r="C38" s="160" t="s">
        <v>207</v>
      </c>
      <c r="D38" s="160">
        <v>2022</v>
      </c>
      <c r="E38" s="161" t="s">
        <v>30</v>
      </c>
      <c r="F38" s="162">
        <v>9282</v>
      </c>
      <c r="G38" s="163">
        <v>0</v>
      </c>
      <c r="H38" s="163">
        <v>30</v>
      </c>
      <c r="I38" s="163">
        <v>0</v>
      </c>
      <c r="J38" s="163">
        <v>0</v>
      </c>
      <c r="K38" s="163">
        <v>0</v>
      </c>
      <c r="L38" s="163">
        <v>0</v>
      </c>
      <c r="M38" s="163">
        <v>0</v>
      </c>
      <c r="N38" s="163">
        <v>0</v>
      </c>
      <c r="O38" s="163">
        <v>0</v>
      </c>
      <c r="P38" s="163">
        <v>0</v>
      </c>
      <c r="Q38" s="163">
        <v>0</v>
      </c>
      <c r="R38" s="163">
        <v>0</v>
      </c>
      <c r="S38" s="161">
        <f t="shared" si="2"/>
        <v>30</v>
      </c>
      <c r="T38" s="164">
        <f>+S38/30</f>
        <v>1</v>
      </c>
      <c r="U38" s="162">
        <f>ROUND(PRODUCT(F38*T38),0)</f>
        <v>9282</v>
      </c>
      <c r="V38" s="163">
        <f>U38*0.1</f>
        <v>928.2</v>
      </c>
      <c r="W38" s="163">
        <f>U38*0.0171</f>
        <v>158.72220000000002</v>
      </c>
      <c r="X38" s="163">
        <f>U38*0.03</f>
        <v>278.45999999999998</v>
      </c>
      <c r="Y38" s="165">
        <f>U38*0.02</f>
        <v>185.64000000000001</v>
      </c>
      <c r="Z38" s="163">
        <f>SUM(U38:Y38)</f>
        <v>10833.022199999999</v>
      </c>
      <c r="AA38" s="56"/>
      <c r="AB38" s="56"/>
    </row>
    <row r="39" spans="1:32" s="1" customFormat="1" ht="28.5" customHeight="1">
      <c r="B39" s="139" t="s">
        <v>37</v>
      </c>
      <c r="C39" s="140"/>
      <c r="D39" s="140"/>
      <c r="E39" s="140"/>
      <c r="F39" s="155"/>
      <c r="G39" s="155"/>
      <c r="H39" s="155"/>
      <c r="I39" s="155"/>
      <c r="J39" s="155"/>
      <c r="K39" s="155"/>
      <c r="L39" s="155"/>
      <c r="M39" s="155"/>
      <c r="N39" s="155"/>
      <c r="O39" s="155"/>
      <c r="P39" s="155"/>
      <c r="Q39" s="155"/>
      <c r="R39" s="155"/>
      <c r="S39" s="140"/>
      <c r="T39" s="140"/>
      <c r="U39" s="148"/>
      <c r="V39" s="141"/>
      <c r="W39" s="141"/>
      <c r="X39" s="141"/>
      <c r="Y39" s="141"/>
      <c r="Z39" s="149"/>
      <c r="AA39" s="56"/>
      <c r="AB39" s="56">
        <f t="shared" si="0"/>
        <v>0</v>
      </c>
    </row>
    <row r="40" spans="1:32" s="1" customFormat="1" ht="20.399999999999999">
      <c r="A40" s="1">
        <f>A38+1</f>
        <v>24</v>
      </c>
      <c r="B40" s="25" t="s">
        <v>231</v>
      </c>
      <c r="C40" s="14" t="s">
        <v>32</v>
      </c>
      <c r="D40" s="14">
        <v>2022</v>
      </c>
      <c r="E40" s="15" t="s">
        <v>30</v>
      </c>
      <c r="F40" s="26">
        <v>13738</v>
      </c>
      <c r="G40" s="17">
        <v>26</v>
      </c>
      <c r="H40" s="17">
        <v>30</v>
      </c>
      <c r="I40" s="17">
        <v>30</v>
      </c>
      <c r="J40" s="17">
        <v>30</v>
      </c>
      <c r="K40" s="17">
        <v>30</v>
      </c>
      <c r="L40" s="17">
        <v>30</v>
      </c>
      <c r="M40" s="17">
        <v>30</v>
      </c>
      <c r="N40" s="17">
        <v>30</v>
      </c>
      <c r="O40" s="17">
        <v>30</v>
      </c>
      <c r="P40" s="17">
        <v>30</v>
      </c>
      <c r="Q40" s="17">
        <v>30</v>
      </c>
      <c r="R40" s="17">
        <v>30</v>
      </c>
      <c r="S40" s="15">
        <f t="shared" si="2"/>
        <v>356</v>
      </c>
      <c r="T40" s="18">
        <f>+S40/30</f>
        <v>11.866666666666667</v>
      </c>
      <c r="U40" s="16">
        <f>ROUND(PRODUCT(F40*T40),0)</f>
        <v>163024</v>
      </c>
      <c r="V40" s="17">
        <f>U40*0.1</f>
        <v>16302.400000000001</v>
      </c>
      <c r="W40" s="17">
        <f>U40*0.0171</f>
        <v>2787.7103999999999</v>
      </c>
      <c r="X40" s="17">
        <f>U40*0.03</f>
        <v>4890.72</v>
      </c>
      <c r="Y40" s="19">
        <f>U40*0.02</f>
        <v>3260.48</v>
      </c>
      <c r="Z40" s="17">
        <f>SUM(U40:Y40)</f>
        <v>190265.31040000002</v>
      </c>
      <c r="AA40" s="56">
        <f>+F40*S40/360</f>
        <v>13585.355555555556</v>
      </c>
      <c r="AB40" s="56">
        <f t="shared" si="0"/>
        <v>203850.66595555557</v>
      </c>
    </row>
    <row r="41" spans="1:32" s="1" customFormat="1" ht="29.25" customHeight="1">
      <c r="A41" s="1">
        <f>A40+1</f>
        <v>25</v>
      </c>
      <c r="B41" s="13" t="s">
        <v>239</v>
      </c>
      <c r="C41" s="14" t="s">
        <v>32</v>
      </c>
      <c r="D41" s="14">
        <v>2022</v>
      </c>
      <c r="E41" s="15" t="s">
        <v>30</v>
      </c>
      <c r="F41" s="16">
        <v>9282</v>
      </c>
      <c r="G41" s="17">
        <v>0</v>
      </c>
      <c r="H41" s="17">
        <v>20</v>
      </c>
      <c r="I41" s="17">
        <v>30</v>
      </c>
      <c r="J41" s="17">
        <v>30</v>
      </c>
      <c r="K41" s="17">
        <v>30</v>
      </c>
      <c r="L41" s="17">
        <v>30</v>
      </c>
      <c r="M41" s="17">
        <v>0</v>
      </c>
      <c r="N41" s="17">
        <v>0</v>
      </c>
      <c r="O41" s="17">
        <v>0</v>
      </c>
      <c r="P41" s="17">
        <v>0</v>
      </c>
      <c r="Q41" s="17">
        <v>0</v>
      </c>
      <c r="R41" s="17">
        <v>0</v>
      </c>
      <c r="S41" s="15">
        <f t="shared" si="2"/>
        <v>140</v>
      </c>
      <c r="T41" s="18">
        <f>+S41/30</f>
        <v>4.666666666666667</v>
      </c>
      <c r="U41" s="16">
        <f>ROUND(PRODUCT(F41*T41),0)</f>
        <v>43316</v>
      </c>
      <c r="V41" s="17">
        <f>U41*0.1</f>
        <v>4331.6000000000004</v>
      </c>
      <c r="W41" s="17">
        <f>U41*0.0171</f>
        <v>740.70360000000005</v>
      </c>
      <c r="X41" s="17">
        <f>U41*0.03</f>
        <v>1299.48</v>
      </c>
      <c r="Y41" s="19">
        <f>U41*0.02</f>
        <v>866.32</v>
      </c>
      <c r="Z41" s="17">
        <f>SUM(U41:Y41)</f>
        <v>50554.103600000002</v>
      </c>
      <c r="AA41" s="56">
        <f>+F41*S41/360</f>
        <v>3609.6666666666665</v>
      </c>
      <c r="AB41" s="56">
        <f t="shared" si="0"/>
        <v>54163.770266666666</v>
      </c>
    </row>
    <row r="42" spans="1:32" s="1" customFormat="1" ht="24" customHeight="1">
      <c r="A42" s="1">
        <f>A41+1</f>
        <v>26</v>
      </c>
      <c r="B42" s="159" t="s">
        <v>240</v>
      </c>
      <c r="C42" s="160" t="s">
        <v>207</v>
      </c>
      <c r="D42" s="160">
        <v>2022</v>
      </c>
      <c r="E42" s="161" t="s">
        <v>30</v>
      </c>
      <c r="F42" s="162">
        <v>9282</v>
      </c>
      <c r="G42" s="163">
        <v>0</v>
      </c>
      <c r="H42" s="163">
        <v>30</v>
      </c>
      <c r="I42" s="163">
        <v>0</v>
      </c>
      <c r="J42" s="163">
        <v>0</v>
      </c>
      <c r="K42" s="163">
        <v>0</v>
      </c>
      <c r="L42" s="163">
        <v>0</v>
      </c>
      <c r="M42" s="163">
        <v>0</v>
      </c>
      <c r="N42" s="163">
        <v>0</v>
      </c>
      <c r="O42" s="163">
        <v>0</v>
      </c>
      <c r="P42" s="163">
        <v>0</v>
      </c>
      <c r="Q42" s="163">
        <v>0</v>
      </c>
      <c r="R42" s="163">
        <v>0</v>
      </c>
      <c r="S42" s="161">
        <f t="shared" si="2"/>
        <v>30</v>
      </c>
      <c r="T42" s="164">
        <f>+S42/30</f>
        <v>1</v>
      </c>
      <c r="U42" s="162">
        <f>ROUND(PRODUCT(F42*T42),0)</f>
        <v>9282</v>
      </c>
      <c r="V42" s="163">
        <f>U42*0.1</f>
        <v>928.2</v>
      </c>
      <c r="W42" s="163">
        <f>U42*0.0171</f>
        <v>158.72220000000002</v>
      </c>
      <c r="X42" s="163">
        <f>U42*0.03</f>
        <v>278.45999999999998</v>
      </c>
      <c r="Y42" s="165">
        <f>U42*0.02</f>
        <v>185.64000000000001</v>
      </c>
      <c r="Z42" s="163">
        <f>SUM(U42:Y42)</f>
        <v>10833.022199999999</v>
      </c>
      <c r="AA42" s="56"/>
      <c r="AB42" s="56">
        <f t="shared" si="0"/>
        <v>10833.022199999999</v>
      </c>
    </row>
    <row r="43" spans="1:32" s="1" customFormat="1">
      <c r="B43" s="4"/>
      <c r="C43" s="5"/>
      <c r="D43" s="5"/>
      <c r="E43" s="5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31"/>
      <c r="V43" s="6"/>
      <c r="W43" s="6"/>
      <c r="X43" s="6"/>
      <c r="Y43" s="6"/>
      <c r="Z43" s="12"/>
      <c r="AA43" s="56"/>
      <c r="AB43" s="56">
        <f t="shared" si="0"/>
        <v>0</v>
      </c>
    </row>
    <row r="44" spans="1:32" s="1" customFormat="1">
      <c r="B44" s="32" t="s">
        <v>40</v>
      </c>
      <c r="C44" s="33">
        <v>18</v>
      </c>
      <c r="D44" s="34"/>
      <c r="E44" s="35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7">
        <f>SUM(U12:U43)</f>
        <v>1823090</v>
      </c>
      <c r="V44" s="38">
        <f>SUM(V10:V43)</f>
        <v>205751.00000000006</v>
      </c>
      <c r="W44" s="38">
        <f>SUM(W10:W43)</f>
        <v>35183.421000000002</v>
      </c>
      <c r="X44" s="38">
        <f>SUM(X10:X43)</f>
        <v>61725.3</v>
      </c>
      <c r="Y44" s="39">
        <f>SUM(Y10:Y43)</f>
        <v>41150.200000000012</v>
      </c>
      <c r="Z44" s="38">
        <f>SUM(Z12:Z43)</f>
        <v>2127728.3389999997</v>
      </c>
      <c r="AA44" s="56">
        <f>SUM(AA9:AA42)</f>
        <v>166147.90277777775</v>
      </c>
      <c r="AB44" s="57">
        <f>SUM(AB9:AB42)</f>
        <v>2317570.6658555553</v>
      </c>
    </row>
    <row r="45" spans="1:32" s="1" customFormat="1">
      <c r="B45" s="32" t="s">
        <v>41</v>
      </c>
      <c r="C45" s="33">
        <v>18</v>
      </c>
      <c r="D45" s="34"/>
      <c r="E45" s="35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8">
        <f>SUM(U44:U44)</f>
        <v>1823090</v>
      </c>
      <c r="V45" s="40">
        <f>SUM(V44:V44)</f>
        <v>205751.00000000006</v>
      </c>
      <c r="W45" s="40">
        <f>SUM(W44:W44)</f>
        <v>35183.421000000002</v>
      </c>
      <c r="X45" s="40">
        <f>SUM(X44:X44)</f>
        <v>61725.3</v>
      </c>
      <c r="Y45" s="41">
        <f>SUM(Y44:Y44)</f>
        <v>41150.200000000012</v>
      </c>
      <c r="Z45" s="42"/>
      <c r="AA45" s="56"/>
      <c r="AB45" s="56"/>
    </row>
    <row r="46" spans="1:32" s="127" customFormat="1">
      <c r="B46" s="122"/>
      <c r="C46" s="123"/>
      <c r="D46" s="123"/>
      <c r="E46" s="122"/>
      <c r="F46" s="124"/>
      <c r="G46" s="124"/>
      <c r="H46" s="124"/>
      <c r="I46" s="124"/>
      <c r="J46" s="124"/>
      <c r="K46" s="124"/>
      <c r="L46" s="124"/>
      <c r="M46" s="124"/>
      <c r="N46" s="124"/>
      <c r="O46" s="124"/>
      <c r="P46" s="124"/>
      <c r="Q46" s="124"/>
      <c r="R46" s="124"/>
      <c r="S46" s="124"/>
      <c r="T46" s="124"/>
      <c r="U46" s="125"/>
      <c r="V46" s="126"/>
      <c r="W46" s="126"/>
      <c r="X46" s="126"/>
      <c r="Y46" s="126"/>
      <c r="Z46" s="131"/>
      <c r="AA46" s="132"/>
      <c r="AB46" s="132"/>
    </row>
    <row r="47" spans="1:32" s="127" customFormat="1">
      <c r="B47" s="122"/>
      <c r="C47" s="123"/>
      <c r="D47" s="123"/>
      <c r="E47" s="122"/>
      <c r="F47" s="124"/>
      <c r="G47" s="124"/>
      <c r="H47" s="124"/>
      <c r="I47" s="124"/>
      <c r="J47" s="124"/>
      <c r="K47" s="124"/>
      <c r="L47" s="124"/>
      <c r="M47" s="124"/>
      <c r="N47" s="124"/>
      <c r="O47" s="124"/>
      <c r="P47" s="124"/>
      <c r="Q47" s="124"/>
      <c r="R47" s="124"/>
      <c r="S47" s="124"/>
      <c r="T47" s="124"/>
      <c r="U47" s="125"/>
      <c r="V47" s="126"/>
      <c r="W47" s="126"/>
      <c r="X47" s="126"/>
      <c r="Y47" s="126"/>
      <c r="Z47" s="131"/>
      <c r="AA47" s="132"/>
      <c r="AB47" s="132"/>
    </row>
    <row r="48" spans="1:32" s="127" customFormat="1">
      <c r="B48" s="122"/>
      <c r="C48" s="123"/>
      <c r="D48" s="123"/>
      <c r="E48" s="122"/>
      <c r="F48" s="124"/>
      <c r="G48" s="124"/>
      <c r="H48" s="124"/>
      <c r="I48" s="124"/>
      <c r="J48" s="124"/>
      <c r="K48" s="124"/>
      <c r="L48" s="124"/>
      <c r="M48" s="124"/>
      <c r="N48" s="124"/>
      <c r="O48" s="124"/>
      <c r="P48" s="124"/>
      <c r="Q48" s="124"/>
      <c r="R48" s="124"/>
      <c r="S48" s="124"/>
      <c r="T48" s="124"/>
      <c r="U48" s="125"/>
      <c r="V48" s="126"/>
      <c r="W48" s="126"/>
      <c r="X48" s="126"/>
      <c r="Y48" s="126"/>
      <c r="Z48" s="131"/>
      <c r="AA48" s="132"/>
      <c r="AB48" s="132"/>
    </row>
    <row r="49" spans="2:28" s="127" customFormat="1">
      <c r="B49" s="122"/>
      <c r="C49" s="123"/>
      <c r="D49" s="123"/>
      <c r="E49" s="122"/>
      <c r="F49" s="124"/>
      <c r="G49" s="124"/>
      <c r="H49" s="124"/>
      <c r="I49" s="124"/>
      <c r="J49" s="124"/>
      <c r="K49" s="124"/>
      <c r="L49" s="124"/>
      <c r="M49" s="124"/>
      <c r="N49" s="124"/>
      <c r="O49" s="124"/>
      <c r="P49" s="124"/>
      <c r="Q49" s="124"/>
      <c r="R49" s="124"/>
      <c r="S49" s="124"/>
      <c r="T49" s="124"/>
      <c r="U49" s="125"/>
      <c r="V49" s="126"/>
      <c r="W49" s="126"/>
      <c r="X49" s="126"/>
      <c r="Y49" s="126"/>
      <c r="Z49" s="131"/>
      <c r="AA49" s="132"/>
      <c r="AB49" s="132"/>
    </row>
    <row r="50" spans="2:28" s="1" customFormat="1">
      <c r="B50" s="4"/>
      <c r="C50" s="5"/>
      <c r="D50" s="5"/>
      <c r="E50" s="5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3"/>
      <c r="V50" s="6"/>
      <c r="W50" s="6"/>
      <c r="X50" s="6"/>
      <c r="Y50" s="6"/>
      <c r="Z50" s="44"/>
      <c r="AA50" s="56"/>
      <c r="AB50" s="56">
        <f>+Z55-AB44</f>
        <v>-389063.66585555533</v>
      </c>
    </row>
    <row r="51" spans="2:28" s="1" customFormat="1" ht="14.1" customHeight="1">
      <c r="B51" s="45"/>
      <c r="C51" s="45"/>
      <c r="D51" s="133"/>
      <c r="E51" s="133"/>
      <c r="F51" s="133"/>
      <c r="G51" s="133"/>
      <c r="H51" s="133"/>
      <c r="I51" s="133"/>
      <c r="J51" s="133"/>
      <c r="K51" s="133"/>
      <c r="L51" s="133"/>
      <c r="M51" s="133"/>
      <c r="N51" s="133"/>
      <c r="O51" s="133"/>
      <c r="P51" s="133"/>
      <c r="Q51" s="133"/>
      <c r="R51" s="133"/>
      <c r="S51" s="45"/>
      <c r="T51" s="45"/>
      <c r="U51" s="46"/>
      <c r="V51" s="331" t="s">
        <v>42</v>
      </c>
      <c r="W51" s="331"/>
      <c r="X51" s="331"/>
      <c r="Y51" s="331"/>
      <c r="Z51" s="47">
        <f>F10</f>
        <v>19535</v>
      </c>
      <c r="AA51" s="56"/>
      <c r="AB51" s="56"/>
    </row>
    <row r="52" spans="2:28" s="1" customFormat="1">
      <c r="B52" s="45"/>
      <c r="C52" s="45"/>
      <c r="D52" s="133"/>
      <c r="E52" s="133"/>
      <c r="F52" s="133"/>
      <c r="G52" s="133"/>
      <c r="H52" s="133"/>
      <c r="I52" s="133"/>
      <c r="J52" s="133"/>
      <c r="K52" s="133"/>
      <c r="L52" s="133"/>
      <c r="M52" s="133"/>
      <c r="N52" s="133"/>
      <c r="O52" s="133"/>
      <c r="P52" s="133"/>
      <c r="Q52" s="133"/>
      <c r="R52" s="133"/>
      <c r="S52" s="336"/>
      <c r="T52" s="336"/>
      <c r="U52" s="45"/>
      <c r="V52" s="45"/>
      <c r="W52" s="45"/>
      <c r="X52" s="45"/>
      <c r="Y52" s="45"/>
      <c r="Z52" s="45"/>
      <c r="AA52" s="56"/>
      <c r="AB52" s="56"/>
    </row>
    <row r="53" spans="2:28" s="1" customFormat="1" ht="14.1" customHeight="1">
      <c r="B53" s="45"/>
      <c r="C53" s="45"/>
      <c r="D53" s="133"/>
      <c r="E53" s="133"/>
      <c r="F53" s="133"/>
      <c r="G53" s="133"/>
      <c r="H53" s="133"/>
      <c r="I53" s="133"/>
      <c r="J53" s="133"/>
      <c r="K53" s="133"/>
      <c r="L53" s="133"/>
      <c r="M53" s="133"/>
      <c r="N53" s="133"/>
      <c r="O53" s="133"/>
      <c r="P53" s="133"/>
      <c r="Q53" s="133"/>
      <c r="R53" s="133"/>
      <c r="S53" s="45"/>
      <c r="T53" s="45"/>
      <c r="U53" s="48"/>
      <c r="V53" s="331" t="s">
        <v>43</v>
      </c>
      <c r="W53" s="331"/>
      <c r="X53" s="331"/>
      <c r="Y53" s="331"/>
      <c r="Z53" s="49">
        <f>Z51+Z44</f>
        <v>2147263.3389999997</v>
      </c>
      <c r="AA53" s="56" t="s">
        <v>45</v>
      </c>
      <c r="AB53" s="56"/>
    </row>
    <row r="54" spans="2:28" s="1" customFormat="1">
      <c r="B54" s="45"/>
      <c r="C54" s="45"/>
      <c r="D54" s="133"/>
      <c r="E54" s="133"/>
      <c r="F54" s="133"/>
      <c r="G54" s="133"/>
      <c r="H54" s="133"/>
      <c r="I54" s="133"/>
      <c r="J54" s="133"/>
      <c r="K54" s="133"/>
      <c r="L54" s="133"/>
      <c r="M54" s="133"/>
      <c r="N54" s="133"/>
      <c r="O54" s="133"/>
      <c r="P54" s="133"/>
      <c r="Q54" s="133"/>
      <c r="R54" s="133"/>
      <c r="S54" s="45"/>
      <c r="T54" s="45"/>
      <c r="U54" s="50"/>
      <c r="V54" s="45"/>
      <c r="W54" s="45"/>
      <c r="X54" s="45"/>
      <c r="Y54" s="45"/>
      <c r="Z54" s="45"/>
      <c r="AA54" s="56"/>
      <c r="AB54" s="56"/>
    </row>
    <row r="55" spans="2:28" s="1" customFormat="1" ht="14.1" customHeight="1">
      <c r="B55" s="45"/>
      <c r="C55" s="45"/>
      <c r="D55" s="133"/>
      <c r="E55" s="133"/>
      <c r="F55" s="133"/>
      <c r="G55" s="133"/>
      <c r="H55" s="133"/>
      <c r="I55" s="133"/>
      <c r="J55" s="133"/>
      <c r="K55" s="133"/>
      <c r="L55" s="133"/>
      <c r="M55" s="133"/>
      <c r="N55" s="133"/>
      <c r="O55" s="133"/>
      <c r="P55" s="133"/>
      <c r="Q55" s="133"/>
      <c r="R55" s="133"/>
      <c r="S55" s="45"/>
      <c r="T55" s="45"/>
      <c r="U55" s="51"/>
      <c r="V55" s="331" t="s">
        <v>44</v>
      </c>
      <c r="W55" s="331"/>
      <c r="X55" s="331"/>
      <c r="Y55" s="331"/>
      <c r="Z55" s="52">
        <v>1928507</v>
      </c>
      <c r="AA55" s="56"/>
      <c r="AB55" s="56"/>
    </row>
    <row r="56" spans="2:28" s="1" customFormat="1" ht="14.1" customHeight="1">
      <c r="B56" s="45"/>
      <c r="C56" s="45"/>
      <c r="D56" s="133"/>
      <c r="E56" s="133"/>
      <c r="F56" s="133"/>
      <c r="G56" s="133"/>
      <c r="H56" s="133"/>
      <c r="I56" s="133"/>
      <c r="J56" s="133"/>
      <c r="K56" s="133"/>
      <c r="L56" s="133"/>
      <c r="M56" s="133"/>
      <c r="N56" s="133"/>
      <c r="O56" s="133"/>
      <c r="P56" s="133"/>
      <c r="Q56" s="133"/>
      <c r="R56" s="133"/>
      <c r="S56" s="45"/>
      <c r="T56" s="45"/>
      <c r="U56" s="51"/>
      <c r="V56" s="54"/>
      <c r="W56" s="54"/>
      <c r="X56" s="54"/>
      <c r="Y56" s="54"/>
      <c r="Z56" s="55"/>
      <c r="AA56" s="56"/>
      <c r="AB56" s="56"/>
    </row>
    <row r="57" spans="2:28">
      <c r="V57" s="59" t="s">
        <v>46</v>
      </c>
      <c r="W57" s="59"/>
      <c r="X57" s="59"/>
      <c r="Y57" s="59"/>
      <c r="Z57" s="134">
        <f>+U44</f>
        <v>1823090</v>
      </c>
    </row>
    <row r="58" spans="2:28">
      <c r="V58" t="s">
        <v>47</v>
      </c>
      <c r="Z58" s="53">
        <f>+U10</f>
        <v>234420</v>
      </c>
    </row>
    <row r="59" spans="2:28">
      <c r="V59" t="s">
        <v>48</v>
      </c>
      <c r="Z59" s="53">
        <f>+V44+W44+X44+Y44</f>
        <v>343809.92100000009</v>
      </c>
    </row>
    <row r="60" spans="2:28">
      <c r="V60" t="s">
        <v>49</v>
      </c>
      <c r="Z60" s="53">
        <f>+AA44</f>
        <v>166147.90277777775</v>
      </c>
    </row>
    <row r="61" spans="2:28" ht="14.7" thickBot="1"/>
    <row r="62" spans="2:28" ht="14.7" thickBot="1">
      <c r="Z62" s="58">
        <f>SUM(Z57:Z61)</f>
        <v>2567467.8237777781</v>
      </c>
    </row>
    <row r="64" spans="2:28">
      <c r="Z64" s="53">
        <f>+Z55-Z62</f>
        <v>-638960.82377777807</v>
      </c>
    </row>
    <row r="66" spans="22:28">
      <c r="X66" t="s">
        <v>188</v>
      </c>
      <c r="Y66" t="s">
        <v>189</v>
      </c>
    </row>
    <row r="67" spans="22:28">
      <c r="X67" s="156" t="s">
        <v>178</v>
      </c>
      <c r="Y67" s="156" t="s">
        <v>179</v>
      </c>
      <c r="Z67" s="156" t="s">
        <v>190</v>
      </c>
    </row>
    <row r="68" spans="22:28">
      <c r="V68" s="158" t="s">
        <v>180</v>
      </c>
      <c r="X68" s="157">
        <f>AA10</f>
        <v>19535</v>
      </c>
      <c r="Y68" s="157">
        <v>0</v>
      </c>
      <c r="Z68" s="157">
        <f>X68+Y68</f>
        <v>19535</v>
      </c>
    </row>
    <row r="69" spans="22:28">
      <c r="V69" s="158" t="s">
        <v>181</v>
      </c>
      <c r="X69" s="157">
        <v>0</v>
      </c>
      <c r="Y69" s="157">
        <v>0</v>
      </c>
      <c r="Z69" s="157">
        <f t="shared" ref="Z69:Z76" si="10">X69+Y69</f>
        <v>0</v>
      </c>
    </row>
    <row r="70" spans="22:28">
      <c r="V70" s="158" t="s">
        <v>182</v>
      </c>
      <c r="X70" s="157">
        <f>U10</f>
        <v>234420</v>
      </c>
      <c r="Y70" s="157">
        <v>0</v>
      </c>
      <c r="Z70" s="157">
        <f t="shared" si="10"/>
        <v>234420</v>
      </c>
    </row>
    <row r="71" spans="22:28">
      <c r="V71" s="158" t="s">
        <v>183</v>
      </c>
      <c r="X71" s="157">
        <v>0</v>
      </c>
      <c r="Y71" s="157">
        <f>U12+U13+U14+U16+U18+U19+U20+U21+U22+U24+U25+U26+U27+U28+U29+U31+U32+U33+U34+U36+U37+U38+U40+U41+U42</f>
        <v>1823090</v>
      </c>
      <c r="Z71" s="157">
        <f t="shared" si="10"/>
        <v>1823090</v>
      </c>
    </row>
    <row r="72" spans="22:28">
      <c r="V72" s="158" t="s">
        <v>184</v>
      </c>
      <c r="X72" s="157">
        <f>V10</f>
        <v>23442</v>
      </c>
      <c r="Y72" s="157">
        <f>V12+V13+V14+V16+V18+V19+V20+V21+V22+V24+V25+V26+V27+V28+V29+V31+V32+V33+V34+V36+V37+V38+V40+V41+V42</f>
        <v>182309.00000000003</v>
      </c>
      <c r="Z72" s="157">
        <f t="shared" si="10"/>
        <v>205751.00000000003</v>
      </c>
    </row>
    <row r="73" spans="22:28">
      <c r="V73" s="158" t="s">
        <v>185</v>
      </c>
      <c r="X73" s="157">
        <f>W10</f>
        <v>4008.5820000000003</v>
      </c>
      <c r="Y73" s="157">
        <f>W12+W13+W14+W16+W18+W19+W20+W21+W22+W24+W25+W26+W27+W28+W29+W31+W32+W33+W34+W36+W37+W38+W40+W41+W42</f>
        <v>31174.839000000004</v>
      </c>
      <c r="Z73" s="157">
        <f t="shared" si="10"/>
        <v>35183.421000000002</v>
      </c>
    </row>
    <row r="74" spans="22:28">
      <c r="V74" s="158" t="s">
        <v>186</v>
      </c>
      <c r="X74" s="157">
        <f>X10</f>
        <v>7032.5999999999995</v>
      </c>
      <c r="Y74" s="157">
        <f>X12+X13+X14+X16+X18+X19+X20+X21+X22+X24+X25+X26+X27+X28+X29+X31+X32+X33+X34+X36+X37+X38+X40+X41+X42</f>
        <v>54692.7</v>
      </c>
      <c r="Z74" s="157">
        <f t="shared" si="10"/>
        <v>61725.299999999996</v>
      </c>
    </row>
    <row r="75" spans="22:28">
      <c r="V75" s="158" t="s">
        <v>187</v>
      </c>
      <c r="X75" s="157">
        <f>Y10</f>
        <v>4688.4000000000005</v>
      </c>
      <c r="Y75" s="157">
        <f>Y12+Y13+Y14+Y16+Y18+Y19+Y20+Y21+Y22+Y24+Y25+Y26+Y27+Y28+Y29+Y31+Y32+Y33+Y34+Y36+Y37+Y38+Y40+Y41+Y42</f>
        <v>36461.800000000003</v>
      </c>
      <c r="Z75" s="157">
        <f t="shared" si="10"/>
        <v>41150.200000000004</v>
      </c>
    </row>
    <row r="76" spans="22:28">
      <c r="V76" s="158" t="s">
        <v>191</v>
      </c>
      <c r="X76" s="157"/>
      <c r="Y76" s="157">
        <f>AA12+AA13+AA14+AA16+AA18+AA19+AA20+AA21+AA22+AA24+AA25+AA27+AA26+AA28+AA29+AA31+AA32+AA33+AA34+AA36+AA37+AA38+AA40+AA41+AA42</f>
        <v>146612.90277777778</v>
      </c>
      <c r="Z76" s="157">
        <f t="shared" si="10"/>
        <v>146612.90277777778</v>
      </c>
    </row>
    <row r="77" spans="22:28">
      <c r="X77" s="157">
        <f>SUM(X68:X76)</f>
        <v>293126.58199999999</v>
      </c>
      <c r="Y77" s="157">
        <f>SUM(Y68:Y76)</f>
        <v>2274341.2417777777</v>
      </c>
      <c r="Z77" s="157">
        <f>SUM(Z68:Z76)</f>
        <v>2567467.8237777781</v>
      </c>
      <c r="AA77" s="53">
        <v>1928507</v>
      </c>
      <c r="AB77" s="53">
        <f>Z77-AA77</f>
        <v>638960.82377777807</v>
      </c>
    </row>
    <row r="80" spans="22:28">
      <c r="X80" s="156"/>
      <c r="Y80" s="156"/>
      <c r="Z80" s="156"/>
    </row>
    <row r="81" spans="22:26">
      <c r="V81" s="158"/>
      <c r="X81" s="157"/>
      <c r="Y81" s="157"/>
      <c r="Z81" s="157"/>
    </row>
    <row r="82" spans="22:26">
      <c r="V82" s="158"/>
      <c r="X82" s="157"/>
      <c r="Y82" s="157"/>
      <c r="Z82" s="157"/>
    </row>
    <row r="83" spans="22:26">
      <c r="V83" s="158"/>
      <c r="X83" s="157"/>
      <c r="Y83" s="157"/>
      <c r="Z83" s="157"/>
    </row>
    <row r="84" spans="22:26">
      <c r="V84" s="158"/>
      <c r="X84" s="157"/>
      <c r="Y84" s="157"/>
      <c r="Z84" s="157"/>
    </row>
    <row r="85" spans="22:26">
      <c r="V85" s="158"/>
      <c r="X85" s="157"/>
      <c r="Y85" s="157"/>
      <c r="Z85" s="157"/>
    </row>
    <row r="86" spans="22:26">
      <c r="V86" s="158"/>
      <c r="X86" s="157"/>
      <c r="Y86" s="157"/>
      <c r="Z86" s="157"/>
    </row>
    <row r="87" spans="22:26">
      <c r="V87" s="158"/>
      <c r="X87" s="157"/>
      <c r="Y87" s="157"/>
      <c r="Z87" s="157"/>
    </row>
    <row r="88" spans="22:26">
      <c r="V88" s="158"/>
      <c r="X88" s="157"/>
      <c r="Y88" s="157"/>
      <c r="Z88" s="157"/>
    </row>
    <row r="89" spans="22:26">
      <c r="V89" s="158"/>
      <c r="X89" s="157"/>
      <c r="Y89" s="157"/>
      <c r="Z89" s="157"/>
    </row>
    <row r="90" spans="22:26">
      <c r="X90" s="157"/>
      <c r="Y90" s="157"/>
      <c r="Z90" s="157"/>
    </row>
  </sheetData>
  <mergeCells count="18">
    <mergeCell ref="V53:Y53"/>
    <mergeCell ref="V55:Y55"/>
    <mergeCell ref="U5:U6"/>
    <mergeCell ref="V5:Y5"/>
    <mergeCell ref="Z5:Z6"/>
    <mergeCell ref="AA5:AA6"/>
    <mergeCell ref="V51:Y51"/>
    <mergeCell ref="S52:T52"/>
    <mergeCell ref="B2:Z2"/>
    <mergeCell ref="V4:Y4"/>
    <mergeCell ref="B5:B6"/>
    <mergeCell ref="C5:C6"/>
    <mergeCell ref="D5:D6"/>
    <mergeCell ref="E5:E6"/>
    <mergeCell ref="F5:F6"/>
    <mergeCell ref="G5:R5"/>
    <mergeCell ref="S5:S6"/>
    <mergeCell ref="T5:T6"/>
  </mergeCells>
  <pageMargins left="0.51181102362204722" right="0.11811023622047245" top="0.35433070866141736" bottom="0.55118110236220474" header="0.31496062992125984" footer="0.31496062992125984"/>
  <pageSetup scale="60" orientation="landscape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7"/>
  <sheetViews>
    <sheetView workbookViewId="0"/>
  </sheetViews>
  <sheetFormatPr baseColWidth="10" defaultRowHeight="14.4"/>
  <cols>
    <col min="1" max="1" width="17" customWidth="1"/>
    <col min="2" max="2" width="18" customWidth="1"/>
    <col min="3" max="3" width="15.5234375" bestFit="1" customWidth="1"/>
    <col min="4" max="4" width="30" customWidth="1"/>
    <col min="5" max="5" width="7.68359375" style="53" customWidth="1"/>
    <col min="6" max="6" width="8.68359375" style="53" customWidth="1"/>
    <col min="7" max="8" width="10.89453125" customWidth="1"/>
  </cols>
  <sheetData>
    <row r="2" spans="2:8" s="1" customFormat="1" ht="14.1" customHeight="1">
      <c r="C2" s="45"/>
      <c r="D2" s="133"/>
      <c r="E2" s="56"/>
      <c r="F2" s="56"/>
    </row>
    <row r="3" spans="2:8" s="1" customFormat="1">
      <c r="B3"/>
      <c r="C3"/>
      <c r="D3"/>
      <c r="E3" s="56"/>
      <c r="F3" s="56"/>
    </row>
    <row r="4" spans="2:8" s="1" customFormat="1" ht="14.1" customHeight="1">
      <c r="B4"/>
      <c r="C4"/>
      <c r="D4"/>
      <c r="E4" s="56"/>
      <c r="F4" s="56"/>
    </row>
    <row r="5" spans="2:8" s="1" customFormat="1">
      <c r="B5"/>
      <c r="C5"/>
      <c r="D5"/>
      <c r="E5" s="56"/>
      <c r="F5" s="56"/>
    </row>
    <row r="6" spans="2:8" s="1" customFormat="1" ht="19.5" customHeight="1">
      <c r="B6" s="346" t="s">
        <v>109</v>
      </c>
      <c r="C6" s="346"/>
      <c r="D6" s="346"/>
      <c r="E6" s="346"/>
      <c r="F6" s="346"/>
      <c r="G6" s="346"/>
      <c r="H6" s="346"/>
    </row>
    <row r="7" spans="2:8" ht="22.8">
      <c r="B7" s="346" t="s">
        <v>270</v>
      </c>
      <c r="C7" s="346"/>
      <c r="D7" s="346"/>
      <c r="E7" s="346"/>
      <c r="F7" s="346"/>
      <c r="G7" s="346"/>
      <c r="H7" s="346"/>
    </row>
    <row r="8" spans="2:8" ht="15.6">
      <c r="B8" s="347" t="s">
        <v>117</v>
      </c>
      <c r="C8" s="347"/>
      <c r="D8" s="347"/>
      <c r="E8" s="347"/>
      <c r="F8" s="347"/>
      <c r="G8" s="347"/>
      <c r="H8" s="347"/>
    </row>
    <row r="9" spans="2:8">
      <c r="B9" s="213" t="s">
        <v>245</v>
      </c>
      <c r="C9" s="213" t="s">
        <v>267</v>
      </c>
      <c r="D9" s="213"/>
    </row>
    <row r="10" spans="2:8">
      <c r="B10" s="213" t="s">
        <v>246</v>
      </c>
      <c r="C10" s="213" t="s">
        <v>268</v>
      </c>
      <c r="D10" s="213"/>
    </row>
    <row r="11" spans="2:8">
      <c r="B11" s="213" t="s">
        <v>121</v>
      </c>
      <c r="C11" s="213" t="s">
        <v>269</v>
      </c>
      <c r="D11" s="213"/>
    </row>
    <row r="12" spans="2:8" ht="14.7" thickBot="1">
      <c r="B12" s="213" t="s">
        <v>123</v>
      </c>
      <c r="C12" s="213" t="s">
        <v>124</v>
      </c>
      <c r="D12" s="213"/>
    </row>
    <row r="13" spans="2:8" ht="61.5" customHeight="1" thickBot="1">
      <c r="B13" s="183" t="s">
        <v>112</v>
      </c>
      <c r="C13" s="204" t="s">
        <v>114</v>
      </c>
      <c r="D13" s="208" t="s">
        <v>115</v>
      </c>
      <c r="E13" s="184" t="s">
        <v>126</v>
      </c>
      <c r="F13" s="184" t="s">
        <v>254</v>
      </c>
      <c r="G13" s="184" t="s">
        <v>250</v>
      </c>
      <c r="H13" s="209" t="s">
        <v>251</v>
      </c>
    </row>
    <row r="14" spans="2:8">
      <c r="B14" s="217" t="s">
        <v>116</v>
      </c>
      <c r="C14" s="93">
        <v>7</v>
      </c>
      <c r="D14" s="205" t="s">
        <v>284</v>
      </c>
      <c r="E14" s="206"/>
      <c r="F14" s="206">
        <v>1</v>
      </c>
      <c r="G14" s="207">
        <v>16958</v>
      </c>
      <c r="H14" s="187">
        <f>F14*G14</f>
        <v>16958</v>
      </c>
    </row>
    <row r="15" spans="2:8">
      <c r="B15" s="350" t="s">
        <v>128</v>
      </c>
      <c r="C15" s="96">
        <v>11</v>
      </c>
      <c r="D15" s="185" t="s">
        <v>272</v>
      </c>
      <c r="E15" s="186"/>
      <c r="F15" s="186">
        <v>3</v>
      </c>
      <c r="G15" s="187">
        <v>13738</v>
      </c>
      <c r="H15" s="187">
        <f t="shared" ref="H15:H24" si="0">F15*G15</f>
        <v>41214</v>
      </c>
    </row>
    <row r="16" spans="2:8">
      <c r="B16" s="351"/>
      <c r="C16" s="96">
        <v>15</v>
      </c>
      <c r="D16" s="185" t="s">
        <v>271</v>
      </c>
      <c r="E16" s="186"/>
      <c r="F16" s="186">
        <v>3</v>
      </c>
      <c r="G16" s="187">
        <v>10693</v>
      </c>
      <c r="H16" s="187">
        <f t="shared" si="0"/>
        <v>32079</v>
      </c>
    </row>
    <row r="17" spans="1:10">
      <c r="B17" s="351"/>
      <c r="C17" s="96">
        <v>17</v>
      </c>
      <c r="D17" s="185" t="s">
        <v>273</v>
      </c>
      <c r="E17" s="186"/>
      <c r="F17" s="186">
        <v>5</v>
      </c>
      <c r="G17" s="187">
        <v>9282</v>
      </c>
      <c r="H17" s="187">
        <f t="shared" si="0"/>
        <v>46410</v>
      </c>
    </row>
    <row r="18" spans="1:10">
      <c r="B18" s="351"/>
      <c r="C18" s="96">
        <v>18</v>
      </c>
      <c r="D18" s="185" t="s">
        <v>305</v>
      </c>
      <c r="E18" s="186"/>
      <c r="F18" s="186">
        <v>1</v>
      </c>
      <c r="G18" s="187">
        <v>8950</v>
      </c>
      <c r="H18" s="187">
        <f t="shared" si="0"/>
        <v>8950</v>
      </c>
    </row>
    <row r="19" spans="1:10">
      <c r="B19" s="351"/>
      <c r="C19" s="96">
        <v>19</v>
      </c>
      <c r="D19" s="185" t="s">
        <v>274</v>
      </c>
      <c r="E19" s="186"/>
      <c r="F19" s="186">
        <v>2</v>
      </c>
      <c r="G19" s="187">
        <v>7722</v>
      </c>
      <c r="H19" s="187">
        <f t="shared" si="0"/>
        <v>15444</v>
      </c>
    </row>
    <row r="20" spans="1:10">
      <c r="B20" s="351"/>
      <c r="C20" s="96">
        <v>20</v>
      </c>
      <c r="D20" s="185" t="s">
        <v>276</v>
      </c>
      <c r="E20" s="186"/>
      <c r="F20" s="186">
        <v>5</v>
      </c>
      <c r="G20" s="187">
        <v>7204</v>
      </c>
      <c r="H20" s="187">
        <f t="shared" si="0"/>
        <v>36020</v>
      </c>
    </row>
    <row r="21" spans="1:10">
      <c r="B21" s="351"/>
      <c r="C21" s="96">
        <v>21</v>
      </c>
      <c r="D21" s="185" t="s">
        <v>275</v>
      </c>
      <c r="E21" s="186"/>
      <c r="F21" s="186">
        <v>2</v>
      </c>
      <c r="G21" s="187">
        <v>5971</v>
      </c>
      <c r="H21" s="187">
        <f t="shared" si="0"/>
        <v>11942</v>
      </c>
    </row>
    <row r="22" spans="1:10">
      <c r="B22" s="351"/>
      <c r="C22" s="200">
        <v>22</v>
      </c>
      <c r="D22" s="201" t="s">
        <v>306</v>
      </c>
      <c r="E22" s="186"/>
      <c r="F22" s="197">
        <v>1</v>
      </c>
      <c r="G22" s="187">
        <v>5494</v>
      </c>
      <c r="H22" s="187">
        <f t="shared" si="0"/>
        <v>5494</v>
      </c>
    </row>
    <row r="23" spans="1:10">
      <c r="B23" s="351"/>
      <c r="C23" s="200">
        <v>25</v>
      </c>
      <c r="D23" s="201" t="s">
        <v>282</v>
      </c>
      <c r="E23" s="186"/>
      <c r="F23" s="197">
        <v>3</v>
      </c>
      <c r="G23" s="187">
        <v>4009</v>
      </c>
      <c r="H23" s="187">
        <f t="shared" si="0"/>
        <v>12027</v>
      </c>
    </row>
    <row r="24" spans="1:10" ht="14.7" thickBot="1">
      <c r="B24" s="352"/>
      <c r="C24" s="200">
        <v>26</v>
      </c>
      <c r="D24" s="201" t="s">
        <v>283</v>
      </c>
      <c r="E24" s="186"/>
      <c r="F24" s="197">
        <v>1</v>
      </c>
      <c r="G24" s="187">
        <v>3340</v>
      </c>
      <c r="H24" s="187">
        <f t="shared" si="0"/>
        <v>3340</v>
      </c>
      <c r="J24" s="232"/>
    </row>
    <row r="25" spans="1:10" ht="14.7" thickBot="1">
      <c r="B25" s="202"/>
      <c r="C25" s="348" t="s">
        <v>252</v>
      </c>
      <c r="D25" s="349"/>
      <c r="E25" s="199">
        <v>0</v>
      </c>
      <c r="F25" s="198">
        <f>SUM(F14:F24)</f>
        <v>27</v>
      </c>
    </row>
    <row r="26" spans="1:10" ht="14.7" thickBot="1">
      <c r="B26" s="203"/>
      <c r="C26" s="344" t="s">
        <v>265</v>
      </c>
      <c r="D26" s="345"/>
      <c r="H26" s="210">
        <f>SUM(H14:H24)</f>
        <v>229878</v>
      </c>
    </row>
    <row r="27" spans="1:10">
      <c r="B27" s="203"/>
      <c r="C27" s="344" t="s">
        <v>266</v>
      </c>
      <c r="D27" s="345"/>
      <c r="E27" s="214"/>
      <c r="F27" s="214"/>
      <c r="G27" s="215"/>
      <c r="H27" s="216">
        <f>H26*12</f>
        <v>2758536</v>
      </c>
    </row>
    <row r="28" spans="1:10" s="53" customFormat="1">
      <c r="A28"/>
      <c r="B28"/>
      <c r="C28"/>
      <c r="D28"/>
      <c r="G28"/>
      <c r="H28"/>
      <c r="I28"/>
      <c r="J28"/>
    </row>
    <row r="29" spans="1:10" s="53" customFormat="1">
      <c r="A29"/>
      <c r="B29"/>
      <c r="C29"/>
      <c r="D29"/>
      <c r="G29"/>
      <c r="H29"/>
      <c r="I29"/>
      <c r="J29"/>
    </row>
    <row r="30" spans="1:10" s="53" customFormat="1">
      <c r="A30"/>
      <c r="B30"/>
      <c r="C30"/>
      <c r="D30"/>
      <c r="G30"/>
      <c r="H30"/>
      <c r="I30"/>
      <c r="J30"/>
    </row>
    <row r="31" spans="1:10" s="53" customFormat="1">
      <c r="A31"/>
      <c r="B31"/>
      <c r="C31"/>
      <c r="D31"/>
      <c r="G31"/>
      <c r="H31"/>
      <c r="I31"/>
      <c r="J31"/>
    </row>
    <row r="32" spans="1:10" s="53" customFormat="1">
      <c r="A32"/>
      <c r="B32"/>
      <c r="C32"/>
      <c r="D32"/>
      <c r="G32"/>
      <c r="H32"/>
      <c r="I32"/>
      <c r="J32"/>
    </row>
    <row r="33" spans="1:10" s="53" customFormat="1">
      <c r="A33"/>
      <c r="B33"/>
      <c r="C33"/>
      <c r="D33"/>
      <c r="G33"/>
      <c r="H33"/>
      <c r="I33"/>
      <c r="J33"/>
    </row>
    <row r="34" spans="1:10" s="53" customFormat="1">
      <c r="A34"/>
      <c r="B34"/>
      <c r="C34"/>
      <c r="D34"/>
      <c r="G34"/>
      <c r="H34"/>
      <c r="I34"/>
      <c r="J34"/>
    </row>
    <row r="35" spans="1:10" s="53" customFormat="1">
      <c r="A35"/>
      <c r="B35"/>
      <c r="C35"/>
      <c r="D35"/>
      <c r="G35"/>
      <c r="H35"/>
      <c r="I35"/>
      <c r="J35"/>
    </row>
    <row r="36" spans="1:10" s="53" customFormat="1">
      <c r="A36"/>
      <c r="B36"/>
      <c r="C36"/>
      <c r="D36"/>
      <c r="G36"/>
      <c r="H36"/>
      <c r="I36"/>
      <c r="J36"/>
    </row>
    <row r="37" spans="1:10" s="53" customFormat="1">
      <c r="A37"/>
      <c r="B37"/>
      <c r="C37"/>
      <c r="D37"/>
      <c r="G37"/>
      <c r="H37"/>
      <c r="I37"/>
      <c r="J37"/>
    </row>
  </sheetData>
  <mergeCells count="7">
    <mergeCell ref="C27:D27"/>
    <mergeCell ref="B6:H6"/>
    <mergeCell ref="B7:H7"/>
    <mergeCell ref="B8:H8"/>
    <mergeCell ref="C25:D25"/>
    <mergeCell ref="C26:D26"/>
    <mergeCell ref="B15:B24"/>
  </mergeCells>
  <printOptions horizontalCentered="1"/>
  <pageMargins left="0.98425196850393704" right="0.98425196850393704" top="0.98425196850393704" bottom="0.98425196850393704" header="0.51181102362204722" footer="0.51181102362204722"/>
  <pageSetup scale="7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84"/>
  <sheetViews>
    <sheetView workbookViewId="0"/>
  </sheetViews>
  <sheetFormatPr baseColWidth="10" defaultRowHeight="14.4"/>
  <cols>
    <col min="1" max="1" width="7.41796875" customWidth="1"/>
    <col min="2" max="2" width="26.3125" bestFit="1" customWidth="1"/>
    <col min="3" max="3" width="42.5234375" bestFit="1" customWidth="1"/>
    <col min="4" max="4" width="8.68359375" customWidth="1"/>
    <col min="5" max="5" width="8.1015625" customWidth="1"/>
    <col min="6" max="6" width="10.68359375" customWidth="1"/>
    <col min="7" max="7" width="12.1015625" customWidth="1"/>
    <col min="9" max="9" width="10.3125" customWidth="1"/>
  </cols>
  <sheetData>
    <row r="2" spans="2:11" s="1" customFormat="1" ht="43.5" customHeight="1">
      <c r="B2" s="337" t="s">
        <v>278</v>
      </c>
      <c r="C2" s="337"/>
      <c r="D2" s="337"/>
      <c r="E2" s="337"/>
      <c r="F2" s="337"/>
      <c r="G2" s="337"/>
    </row>
    <row r="3" spans="2:11" s="1" customFormat="1">
      <c r="B3" s="363" t="s">
        <v>277</v>
      </c>
      <c r="C3" s="363"/>
      <c r="D3" s="363"/>
      <c r="E3" s="363"/>
      <c r="F3" s="363"/>
      <c r="G3" s="363"/>
    </row>
    <row r="4" spans="2:11" s="1" customFormat="1" ht="14.7" thickBot="1">
      <c r="B4" s="4"/>
      <c r="C4" s="4"/>
      <c r="D4" s="5"/>
      <c r="E4" s="5"/>
      <c r="F4" s="5"/>
      <c r="G4" s="4"/>
    </row>
    <row r="5" spans="2:11" s="1" customFormat="1" ht="13.35" customHeight="1">
      <c r="B5" s="353" t="s">
        <v>327</v>
      </c>
      <c r="C5" s="353" t="s">
        <v>258</v>
      </c>
      <c r="D5" s="355" t="s">
        <v>257</v>
      </c>
      <c r="E5" s="357" t="s">
        <v>3</v>
      </c>
      <c r="F5" s="359" t="s">
        <v>249</v>
      </c>
      <c r="G5" s="361" t="s">
        <v>259</v>
      </c>
      <c r="H5" s="364" t="s">
        <v>260</v>
      </c>
      <c r="I5" s="366" t="s">
        <v>263</v>
      </c>
      <c r="J5" s="366" t="s">
        <v>261</v>
      </c>
      <c r="K5" s="366" t="s">
        <v>262</v>
      </c>
    </row>
    <row r="6" spans="2:11" s="1" customFormat="1" ht="35.25" customHeight="1" thickBot="1">
      <c r="B6" s="354"/>
      <c r="C6" s="354"/>
      <c r="D6" s="356"/>
      <c r="E6" s="358"/>
      <c r="F6" s="360"/>
      <c r="G6" s="362"/>
      <c r="H6" s="365"/>
      <c r="I6" s="367"/>
      <c r="J6" s="367"/>
      <c r="K6" s="367"/>
    </row>
    <row r="7" spans="2:11" s="1" customFormat="1">
      <c r="B7" s="237" t="s">
        <v>315</v>
      </c>
      <c r="C7" s="238" t="s">
        <v>28</v>
      </c>
      <c r="D7" s="218" t="s">
        <v>32</v>
      </c>
      <c r="E7" s="219">
        <v>2024</v>
      </c>
      <c r="F7" s="220" t="s">
        <v>116</v>
      </c>
      <c r="G7" s="221">
        <f>'ESCALA SALARIAL-PROPUESTA'!G14</f>
        <v>16958</v>
      </c>
      <c r="H7" s="230">
        <f t="shared" ref="H7:H37" si="0">G7*0.1</f>
        <v>1695.8000000000002</v>
      </c>
      <c r="I7" s="230">
        <f t="shared" ref="I7:I37" si="1">G7*0.0171</f>
        <v>289.98180000000002</v>
      </c>
      <c r="J7" s="230">
        <f t="shared" ref="J7:J37" si="2">G7*0.03</f>
        <v>508.74</v>
      </c>
      <c r="K7" s="230">
        <f t="shared" ref="K7:K37" si="3">G7*0.02</f>
        <v>339.16</v>
      </c>
    </row>
    <row r="8" spans="2:11" s="1" customFormat="1">
      <c r="B8" s="371" t="s">
        <v>27</v>
      </c>
      <c r="C8" s="372"/>
      <c r="D8" s="372"/>
      <c r="E8" s="372"/>
      <c r="F8" s="372"/>
      <c r="G8" s="373"/>
      <c r="H8" s="230">
        <f t="shared" si="0"/>
        <v>0</v>
      </c>
      <c r="I8" s="230">
        <f t="shared" si="1"/>
        <v>0</v>
      </c>
      <c r="J8" s="230">
        <f t="shared" si="2"/>
        <v>0</v>
      </c>
      <c r="K8" s="230">
        <f t="shared" si="3"/>
        <v>0</v>
      </c>
    </row>
    <row r="9" spans="2:11" s="1" customFormat="1">
      <c r="B9" s="234" t="s">
        <v>316</v>
      </c>
      <c r="C9" s="13" t="s">
        <v>308</v>
      </c>
      <c r="D9" s="189" t="s">
        <v>32</v>
      </c>
      <c r="E9" s="14">
        <v>2024</v>
      </c>
      <c r="F9" s="15" t="s">
        <v>253</v>
      </c>
      <c r="G9" s="211">
        <v>10693</v>
      </c>
      <c r="H9" s="230">
        <f t="shared" si="0"/>
        <v>1069.3</v>
      </c>
      <c r="I9" s="230">
        <f t="shared" si="1"/>
        <v>182.8503</v>
      </c>
      <c r="J9" s="230">
        <f t="shared" si="2"/>
        <v>320.78999999999996</v>
      </c>
      <c r="K9" s="230">
        <f t="shared" si="3"/>
        <v>213.86</v>
      </c>
    </row>
    <row r="10" spans="2:11" s="1" customFormat="1">
      <c r="B10" s="235" t="s">
        <v>328</v>
      </c>
      <c r="C10" s="228" t="s">
        <v>285</v>
      </c>
      <c r="D10" s="223" t="s">
        <v>32</v>
      </c>
      <c r="E10" s="224">
        <v>2024</v>
      </c>
      <c r="F10" s="225" t="s">
        <v>253</v>
      </c>
      <c r="G10" s="226">
        <v>5971</v>
      </c>
      <c r="H10" s="230">
        <f t="shared" si="0"/>
        <v>597.1</v>
      </c>
      <c r="I10" s="230">
        <f t="shared" si="1"/>
        <v>102.1041</v>
      </c>
      <c r="J10" s="230">
        <f t="shared" si="2"/>
        <v>179.13</v>
      </c>
      <c r="K10" s="230">
        <f t="shared" si="3"/>
        <v>119.42</v>
      </c>
    </row>
    <row r="11" spans="2:11" s="1" customFormat="1">
      <c r="B11" s="236" t="s">
        <v>318</v>
      </c>
      <c r="C11" s="229" t="s">
        <v>286</v>
      </c>
      <c r="D11" s="189" t="s">
        <v>32</v>
      </c>
      <c r="E11" s="27">
        <v>2024</v>
      </c>
      <c r="F11" s="28" t="s">
        <v>253</v>
      </c>
      <c r="G11" s="211">
        <f>6906+298</f>
        <v>7204</v>
      </c>
      <c r="H11" s="230">
        <f t="shared" si="0"/>
        <v>720.40000000000009</v>
      </c>
      <c r="I11" s="230">
        <f t="shared" si="1"/>
        <v>123.1884</v>
      </c>
      <c r="J11" s="230">
        <f t="shared" si="2"/>
        <v>216.12</v>
      </c>
      <c r="K11" s="230">
        <f t="shared" si="3"/>
        <v>144.08000000000001</v>
      </c>
    </row>
    <row r="12" spans="2:11" s="1" customFormat="1">
      <c r="B12" s="234" t="s">
        <v>319</v>
      </c>
      <c r="C12" s="13" t="s">
        <v>287</v>
      </c>
      <c r="D12" s="188" t="s">
        <v>32</v>
      </c>
      <c r="E12" s="14">
        <v>2024</v>
      </c>
      <c r="F12" s="15" t="s">
        <v>253</v>
      </c>
      <c r="G12" s="211">
        <f>6906+298</f>
        <v>7204</v>
      </c>
      <c r="H12" s="230">
        <f t="shared" si="0"/>
        <v>720.40000000000009</v>
      </c>
      <c r="I12" s="230">
        <f t="shared" si="1"/>
        <v>123.1884</v>
      </c>
      <c r="J12" s="230">
        <f t="shared" si="2"/>
        <v>216.12</v>
      </c>
      <c r="K12" s="230">
        <f t="shared" si="3"/>
        <v>144.08000000000001</v>
      </c>
    </row>
    <row r="13" spans="2:11" s="1" customFormat="1">
      <c r="B13" s="234" t="s">
        <v>320</v>
      </c>
      <c r="C13" s="13" t="s">
        <v>288</v>
      </c>
      <c r="D13" s="188" t="s">
        <v>32</v>
      </c>
      <c r="E13" s="14">
        <v>2024</v>
      </c>
      <c r="F13" s="15" t="s">
        <v>253</v>
      </c>
      <c r="G13" s="211">
        <v>4009</v>
      </c>
      <c r="H13" s="230">
        <f t="shared" si="0"/>
        <v>400.90000000000003</v>
      </c>
      <c r="I13" s="230">
        <f t="shared" si="1"/>
        <v>68.553899999999999</v>
      </c>
      <c r="J13" s="230">
        <f t="shared" si="2"/>
        <v>120.27</v>
      </c>
      <c r="K13" s="230">
        <f t="shared" si="3"/>
        <v>80.180000000000007</v>
      </c>
    </row>
    <row r="14" spans="2:11" s="1" customFormat="1">
      <c r="B14" s="234" t="s">
        <v>320</v>
      </c>
      <c r="C14" s="13" t="s">
        <v>289</v>
      </c>
      <c r="D14" s="188" t="s">
        <v>32</v>
      </c>
      <c r="E14" s="14">
        <v>2024</v>
      </c>
      <c r="F14" s="15" t="s">
        <v>253</v>
      </c>
      <c r="G14" s="211">
        <v>4009</v>
      </c>
      <c r="H14" s="230">
        <f t="shared" si="0"/>
        <v>400.90000000000003</v>
      </c>
      <c r="I14" s="230">
        <f t="shared" si="1"/>
        <v>68.553899999999999</v>
      </c>
      <c r="J14" s="230">
        <f t="shared" si="2"/>
        <v>120.27</v>
      </c>
      <c r="K14" s="230">
        <f t="shared" si="3"/>
        <v>80.180000000000007</v>
      </c>
    </row>
    <row r="15" spans="2:11" s="1" customFormat="1">
      <c r="B15" s="371" t="s">
        <v>279</v>
      </c>
      <c r="C15" s="372"/>
      <c r="D15" s="372"/>
      <c r="E15" s="372"/>
      <c r="F15" s="372"/>
      <c r="G15" s="373"/>
      <c r="H15" s="230">
        <f t="shared" si="0"/>
        <v>0</v>
      </c>
      <c r="I15" s="230">
        <f t="shared" si="1"/>
        <v>0</v>
      </c>
      <c r="J15" s="230">
        <f t="shared" si="2"/>
        <v>0</v>
      </c>
      <c r="K15" s="230">
        <f t="shared" si="3"/>
        <v>0</v>
      </c>
    </row>
    <row r="16" spans="2:11" s="166" customFormat="1">
      <c r="B16" s="13" t="s">
        <v>321</v>
      </c>
      <c r="C16" s="13" t="s">
        <v>290</v>
      </c>
      <c r="D16" s="14" t="s">
        <v>32</v>
      </c>
      <c r="E16" s="14">
        <v>2024</v>
      </c>
      <c r="F16" s="15" t="s">
        <v>253</v>
      </c>
      <c r="G16" s="18">
        <v>13738</v>
      </c>
      <c r="H16" s="230">
        <f t="shared" si="0"/>
        <v>1373.8000000000002</v>
      </c>
      <c r="I16" s="230">
        <f t="shared" si="1"/>
        <v>234.91980000000001</v>
      </c>
      <c r="J16" s="230">
        <f t="shared" si="2"/>
        <v>412.14</v>
      </c>
      <c r="K16" s="230">
        <f t="shared" si="3"/>
        <v>274.76</v>
      </c>
    </row>
    <row r="17" spans="2:11" s="166" customFormat="1">
      <c r="B17" s="228" t="s">
        <v>322</v>
      </c>
      <c r="C17" s="228" t="s">
        <v>291</v>
      </c>
      <c r="D17" s="224" t="s">
        <v>32</v>
      </c>
      <c r="E17" s="224">
        <v>2024</v>
      </c>
      <c r="F17" s="225" t="s">
        <v>253</v>
      </c>
      <c r="G17" s="227">
        <v>8950</v>
      </c>
      <c r="H17" s="230">
        <f t="shared" si="0"/>
        <v>895</v>
      </c>
      <c r="I17" s="230">
        <f t="shared" si="1"/>
        <v>153.04500000000002</v>
      </c>
      <c r="J17" s="230">
        <f t="shared" si="2"/>
        <v>268.5</v>
      </c>
      <c r="K17" s="230">
        <f t="shared" si="3"/>
        <v>179</v>
      </c>
    </row>
    <row r="18" spans="2:11" s="166" customFormat="1">
      <c r="B18" s="229" t="s">
        <v>319</v>
      </c>
      <c r="C18" s="229" t="s">
        <v>309</v>
      </c>
      <c r="D18" s="27" t="s">
        <v>32</v>
      </c>
      <c r="E18" s="27">
        <v>2024</v>
      </c>
      <c r="F18" s="28" t="s">
        <v>253</v>
      </c>
      <c r="G18" s="211">
        <f>6906+298</f>
        <v>7204</v>
      </c>
      <c r="H18" s="230">
        <f t="shared" si="0"/>
        <v>720.40000000000009</v>
      </c>
      <c r="I18" s="230">
        <f t="shared" si="1"/>
        <v>123.1884</v>
      </c>
      <c r="J18" s="230">
        <f t="shared" si="2"/>
        <v>216.12</v>
      </c>
      <c r="K18" s="230">
        <f t="shared" si="3"/>
        <v>144.08000000000001</v>
      </c>
    </row>
    <row r="19" spans="2:11" s="166" customFormat="1">
      <c r="B19" s="229" t="s">
        <v>324</v>
      </c>
      <c r="C19" s="229" t="s">
        <v>295</v>
      </c>
      <c r="D19" s="27" t="s">
        <v>32</v>
      </c>
      <c r="E19" s="27">
        <v>2024</v>
      </c>
      <c r="F19" s="28" t="s">
        <v>253</v>
      </c>
      <c r="G19" s="212">
        <v>5494</v>
      </c>
      <c r="H19" s="230">
        <f t="shared" si="0"/>
        <v>549.4</v>
      </c>
      <c r="I19" s="230">
        <f t="shared" si="1"/>
        <v>93.947400000000002</v>
      </c>
      <c r="J19" s="230">
        <f t="shared" si="2"/>
        <v>164.82</v>
      </c>
      <c r="K19" s="230">
        <f t="shared" si="3"/>
        <v>109.88</v>
      </c>
    </row>
    <row r="20" spans="2:11" s="166" customFormat="1">
      <c r="B20" s="371" t="s">
        <v>280</v>
      </c>
      <c r="C20" s="372"/>
      <c r="D20" s="372"/>
      <c r="E20" s="372"/>
      <c r="F20" s="372"/>
      <c r="G20" s="373"/>
      <c r="H20" s="230">
        <f t="shared" si="0"/>
        <v>0</v>
      </c>
      <c r="I20" s="230">
        <f t="shared" si="1"/>
        <v>0</v>
      </c>
      <c r="J20" s="230">
        <f t="shared" si="2"/>
        <v>0</v>
      </c>
      <c r="K20" s="230">
        <f t="shared" si="3"/>
        <v>0</v>
      </c>
    </row>
    <row r="21" spans="2:11" s="166" customFormat="1">
      <c r="B21" s="234" t="s">
        <v>321</v>
      </c>
      <c r="C21" s="13" t="s">
        <v>292</v>
      </c>
      <c r="D21" s="188" t="s">
        <v>32</v>
      </c>
      <c r="E21" s="14">
        <v>2024</v>
      </c>
      <c r="F21" s="15" t="s">
        <v>253</v>
      </c>
      <c r="G21" s="18">
        <v>13738</v>
      </c>
      <c r="H21" s="230">
        <f t="shared" si="0"/>
        <v>1373.8000000000002</v>
      </c>
      <c r="I21" s="230">
        <f t="shared" si="1"/>
        <v>234.91980000000001</v>
      </c>
      <c r="J21" s="230">
        <f t="shared" si="2"/>
        <v>412.14</v>
      </c>
      <c r="K21" s="230">
        <f t="shared" si="3"/>
        <v>274.76</v>
      </c>
    </row>
    <row r="22" spans="2:11" s="166" customFormat="1">
      <c r="B22" s="234" t="s">
        <v>325</v>
      </c>
      <c r="C22" s="13" t="s">
        <v>293</v>
      </c>
      <c r="D22" s="188" t="s">
        <v>32</v>
      </c>
      <c r="E22" s="14">
        <v>2024</v>
      </c>
      <c r="F22" s="15" t="s">
        <v>253</v>
      </c>
      <c r="G22" s="211">
        <v>9282</v>
      </c>
      <c r="H22" s="230">
        <f t="shared" si="0"/>
        <v>928.2</v>
      </c>
      <c r="I22" s="230">
        <f t="shared" si="1"/>
        <v>158.72220000000002</v>
      </c>
      <c r="J22" s="230">
        <f t="shared" si="2"/>
        <v>278.45999999999998</v>
      </c>
      <c r="K22" s="230">
        <f t="shared" si="3"/>
        <v>185.64000000000001</v>
      </c>
    </row>
    <row r="23" spans="2:11" s="166" customFormat="1">
      <c r="B23" s="235" t="s">
        <v>319</v>
      </c>
      <c r="C23" s="228" t="s">
        <v>310</v>
      </c>
      <c r="D23" s="223" t="s">
        <v>32</v>
      </c>
      <c r="E23" s="224">
        <v>2024</v>
      </c>
      <c r="F23" s="225" t="s">
        <v>253</v>
      </c>
      <c r="G23" s="226">
        <f>6906+298</f>
        <v>7204</v>
      </c>
      <c r="H23" s="230">
        <f t="shared" si="0"/>
        <v>720.40000000000009</v>
      </c>
      <c r="I23" s="230">
        <f t="shared" si="1"/>
        <v>123.1884</v>
      </c>
      <c r="J23" s="230">
        <f t="shared" si="2"/>
        <v>216.12</v>
      </c>
      <c r="K23" s="230">
        <f t="shared" si="3"/>
        <v>144.08000000000001</v>
      </c>
    </row>
    <row r="24" spans="2:11" s="166" customFormat="1">
      <c r="B24" s="234" t="s">
        <v>319</v>
      </c>
      <c r="C24" s="13" t="s">
        <v>311</v>
      </c>
      <c r="D24" s="188" t="s">
        <v>32</v>
      </c>
      <c r="E24" s="14">
        <v>2024</v>
      </c>
      <c r="F24" s="15" t="s">
        <v>253</v>
      </c>
      <c r="G24" s="211">
        <f>6906+298</f>
        <v>7204</v>
      </c>
      <c r="H24" s="230">
        <f t="shared" si="0"/>
        <v>720.40000000000009</v>
      </c>
      <c r="I24" s="230">
        <f t="shared" si="1"/>
        <v>123.1884</v>
      </c>
      <c r="J24" s="230">
        <f t="shared" si="2"/>
        <v>216.12</v>
      </c>
      <c r="K24" s="230">
        <f t="shared" si="3"/>
        <v>144.08000000000001</v>
      </c>
    </row>
    <row r="25" spans="2:11" s="166" customFormat="1">
      <c r="B25" s="236" t="s">
        <v>317</v>
      </c>
      <c r="C25" s="229" t="s">
        <v>312</v>
      </c>
      <c r="D25" s="189" t="s">
        <v>32</v>
      </c>
      <c r="E25" s="27">
        <v>2024</v>
      </c>
      <c r="F25" s="28" t="s">
        <v>253</v>
      </c>
      <c r="G25" s="212">
        <v>5971</v>
      </c>
      <c r="H25" s="230">
        <f t="shared" si="0"/>
        <v>597.1</v>
      </c>
      <c r="I25" s="230">
        <f t="shared" si="1"/>
        <v>102.1041</v>
      </c>
      <c r="J25" s="230">
        <f t="shared" si="2"/>
        <v>179.13</v>
      </c>
      <c r="K25" s="230">
        <f t="shared" si="3"/>
        <v>119.42</v>
      </c>
    </row>
    <row r="26" spans="2:11" s="1" customFormat="1" ht="26.25" customHeight="1">
      <c r="B26" s="236" t="s">
        <v>326</v>
      </c>
      <c r="C26" s="229" t="s">
        <v>307</v>
      </c>
      <c r="D26" s="189" t="s">
        <v>32</v>
      </c>
      <c r="E26" s="27">
        <v>2024</v>
      </c>
      <c r="F26" s="28" t="s">
        <v>253</v>
      </c>
      <c r="G26" s="212">
        <v>3340</v>
      </c>
      <c r="H26" s="230">
        <f t="shared" si="0"/>
        <v>334</v>
      </c>
      <c r="I26" s="230">
        <f t="shared" si="1"/>
        <v>57.114000000000004</v>
      </c>
      <c r="J26" s="230">
        <f t="shared" si="2"/>
        <v>100.2</v>
      </c>
      <c r="K26" s="230">
        <f t="shared" si="3"/>
        <v>66.8</v>
      </c>
    </row>
    <row r="27" spans="2:11" s="1" customFormat="1" ht="15.75" customHeight="1">
      <c r="B27" s="368" t="s">
        <v>281</v>
      </c>
      <c r="C27" s="369"/>
      <c r="D27" s="369"/>
      <c r="E27" s="369"/>
      <c r="F27" s="369"/>
      <c r="G27" s="370"/>
      <c r="H27" s="230">
        <f t="shared" si="0"/>
        <v>0</v>
      </c>
      <c r="I27" s="230">
        <f t="shared" si="1"/>
        <v>0</v>
      </c>
      <c r="J27" s="230">
        <f t="shared" si="2"/>
        <v>0</v>
      </c>
      <c r="K27" s="230">
        <f t="shared" si="3"/>
        <v>0</v>
      </c>
    </row>
    <row r="28" spans="2:11" s="1" customFormat="1" ht="20.25" customHeight="1">
      <c r="B28" s="234" t="s">
        <v>321</v>
      </c>
      <c r="C28" s="13" t="s">
        <v>299</v>
      </c>
      <c r="D28" s="188" t="s">
        <v>32</v>
      </c>
      <c r="E28" s="14">
        <v>2024</v>
      </c>
      <c r="F28" s="15" t="s">
        <v>253</v>
      </c>
      <c r="G28" s="18">
        <v>13738</v>
      </c>
      <c r="H28" s="230">
        <f t="shared" si="0"/>
        <v>1373.8000000000002</v>
      </c>
      <c r="I28" s="230">
        <f t="shared" si="1"/>
        <v>234.91980000000001</v>
      </c>
      <c r="J28" s="230">
        <f t="shared" si="2"/>
        <v>412.14</v>
      </c>
      <c r="K28" s="230">
        <f t="shared" si="3"/>
        <v>274.76</v>
      </c>
    </row>
    <row r="29" spans="2:11" s="1" customFormat="1" ht="20.25" customHeight="1">
      <c r="B29" s="236" t="s">
        <v>316</v>
      </c>
      <c r="C29" s="229" t="s">
        <v>313</v>
      </c>
      <c r="D29" s="189" t="s">
        <v>32</v>
      </c>
      <c r="E29" s="27">
        <v>2024</v>
      </c>
      <c r="F29" s="28" t="s">
        <v>253</v>
      </c>
      <c r="G29" s="211">
        <v>10693</v>
      </c>
      <c r="H29" s="230">
        <f t="shared" si="0"/>
        <v>1069.3</v>
      </c>
      <c r="I29" s="230">
        <f t="shared" si="1"/>
        <v>182.8503</v>
      </c>
      <c r="J29" s="230">
        <f t="shared" si="2"/>
        <v>320.78999999999996</v>
      </c>
      <c r="K29" s="230">
        <f t="shared" si="3"/>
        <v>213.86</v>
      </c>
    </row>
    <row r="30" spans="2:11" s="1" customFormat="1" ht="20.25" customHeight="1">
      <c r="B30" s="236" t="s">
        <v>316</v>
      </c>
      <c r="C30" s="229" t="s">
        <v>296</v>
      </c>
      <c r="D30" s="189" t="s">
        <v>32</v>
      </c>
      <c r="E30" s="27">
        <v>2024</v>
      </c>
      <c r="F30" s="28" t="s">
        <v>253</v>
      </c>
      <c r="G30" s="211">
        <v>10693</v>
      </c>
      <c r="H30" s="230">
        <f t="shared" si="0"/>
        <v>1069.3</v>
      </c>
      <c r="I30" s="230">
        <f t="shared" si="1"/>
        <v>182.8503</v>
      </c>
      <c r="J30" s="230">
        <f t="shared" si="2"/>
        <v>320.78999999999996</v>
      </c>
      <c r="K30" s="230">
        <f t="shared" si="3"/>
        <v>213.86</v>
      </c>
    </row>
    <row r="31" spans="2:11" s="1" customFormat="1" ht="20.25" customHeight="1">
      <c r="B31" s="236" t="s">
        <v>325</v>
      </c>
      <c r="C31" s="229" t="s">
        <v>294</v>
      </c>
      <c r="D31" s="189" t="s">
        <v>32</v>
      </c>
      <c r="E31" s="27">
        <v>2024</v>
      </c>
      <c r="F31" s="28" t="s">
        <v>253</v>
      </c>
      <c r="G31" s="211">
        <v>9282</v>
      </c>
      <c r="H31" s="230">
        <f t="shared" si="0"/>
        <v>928.2</v>
      </c>
      <c r="I31" s="230">
        <f t="shared" si="1"/>
        <v>158.72220000000002</v>
      </c>
      <c r="J31" s="230">
        <f t="shared" si="2"/>
        <v>278.45999999999998</v>
      </c>
      <c r="K31" s="230">
        <f t="shared" si="3"/>
        <v>185.64000000000001</v>
      </c>
    </row>
    <row r="32" spans="2:11" s="1" customFormat="1" ht="20.25" customHeight="1">
      <c r="B32" s="236" t="s">
        <v>325</v>
      </c>
      <c r="C32" s="229" t="s">
        <v>301</v>
      </c>
      <c r="D32" s="189" t="s">
        <v>32</v>
      </c>
      <c r="E32" s="27">
        <v>2024</v>
      </c>
      <c r="F32" s="28" t="s">
        <v>253</v>
      </c>
      <c r="G32" s="211">
        <v>9282</v>
      </c>
      <c r="H32" s="230">
        <f t="shared" si="0"/>
        <v>928.2</v>
      </c>
      <c r="I32" s="230">
        <f t="shared" si="1"/>
        <v>158.72220000000002</v>
      </c>
      <c r="J32" s="230">
        <f t="shared" si="2"/>
        <v>278.45999999999998</v>
      </c>
      <c r="K32" s="230">
        <f t="shared" si="3"/>
        <v>185.64000000000001</v>
      </c>
    </row>
    <row r="33" spans="2:11" s="1" customFormat="1" ht="20.25" customHeight="1">
      <c r="B33" s="236" t="s">
        <v>325</v>
      </c>
      <c r="C33" s="229" t="s">
        <v>302</v>
      </c>
      <c r="D33" s="189" t="s">
        <v>32</v>
      </c>
      <c r="E33" s="27">
        <v>2024</v>
      </c>
      <c r="F33" s="28" t="s">
        <v>253</v>
      </c>
      <c r="G33" s="211">
        <v>9282</v>
      </c>
      <c r="H33" s="230">
        <f t="shared" si="0"/>
        <v>928.2</v>
      </c>
      <c r="I33" s="230">
        <f t="shared" si="1"/>
        <v>158.72220000000002</v>
      </c>
      <c r="J33" s="230">
        <f t="shared" si="2"/>
        <v>278.45999999999998</v>
      </c>
      <c r="K33" s="230">
        <f t="shared" si="3"/>
        <v>185.64000000000001</v>
      </c>
    </row>
    <row r="34" spans="2:11" s="1" customFormat="1" ht="20.25" customHeight="1">
      <c r="B34" s="236" t="s">
        <v>325</v>
      </c>
      <c r="C34" s="229" t="s">
        <v>297</v>
      </c>
      <c r="D34" s="189" t="s">
        <v>32</v>
      </c>
      <c r="E34" s="27">
        <v>2024</v>
      </c>
      <c r="F34" s="28" t="s">
        <v>253</v>
      </c>
      <c r="G34" s="211">
        <v>9282</v>
      </c>
      <c r="H34" s="230">
        <f t="shared" si="0"/>
        <v>928.2</v>
      </c>
      <c r="I34" s="230">
        <f t="shared" si="1"/>
        <v>158.72220000000002</v>
      </c>
      <c r="J34" s="230">
        <f t="shared" si="2"/>
        <v>278.45999999999998</v>
      </c>
      <c r="K34" s="230">
        <f t="shared" si="3"/>
        <v>185.64000000000001</v>
      </c>
    </row>
    <row r="35" spans="2:11" s="1" customFormat="1" ht="20.25" customHeight="1">
      <c r="B35" s="236" t="s">
        <v>323</v>
      </c>
      <c r="C35" s="229" t="s">
        <v>298</v>
      </c>
      <c r="D35" s="189" t="s">
        <v>32</v>
      </c>
      <c r="E35" s="27">
        <v>2024</v>
      </c>
      <c r="F35" s="28" t="s">
        <v>253</v>
      </c>
      <c r="G35" s="212">
        <v>7722</v>
      </c>
      <c r="H35" s="230">
        <f t="shared" si="0"/>
        <v>772.2</v>
      </c>
      <c r="I35" s="230">
        <f t="shared" si="1"/>
        <v>132.0462</v>
      </c>
      <c r="J35" s="230">
        <f t="shared" si="2"/>
        <v>231.66</v>
      </c>
      <c r="K35" s="230">
        <f t="shared" si="3"/>
        <v>154.44</v>
      </c>
    </row>
    <row r="36" spans="2:11" s="1" customFormat="1" ht="20.25" customHeight="1">
      <c r="B36" s="236" t="s">
        <v>323</v>
      </c>
      <c r="C36" s="229" t="s">
        <v>314</v>
      </c>
      <c r="D36" s="189" t="s">
        <v>32</v>
      </c>
      <c r="E36" s="27">
        <v>2024</v>
      </c>
      <c r="F36" s="28" t="s">
        <v>253</v>
      </c>
      <c r="G36" s="212">
        <v>7722</v>
      </c>
      <c r="H36" s="230">
        <f t="shared" si="0"/>
        <v>772.2</v>
      </c>
      <c r="I36" s="230">
        <f t="shared" si="1"/>
        <v>132.0462</v>
      </c>
      <c r="J36" s="230">
        <f t="shared" si="2"/>
        <v>231.66</v>
      </c>
      <c r="K36" s="230">
        <f t="shared" si="3"/>
        <v>154.44</v>
      </c>
    </row>
    <row r="37" spans="2:11" s="1" customFormat="1" ht="16.5" customHeight="1">
      <c r="B37" s="234" t="s">
        <v>320</v>
      </c>
      <c r="C37" s="13" t="s">
        <v>300</v>
      </c>
      <c r="D37" s="188" t="s">
        <v>32</v>
      </c>
      <c r="E37" s="14">
        <v>2024</v>
      </c>
      <c r="F37" s="15" t="s">
        <v>253</v>
      </c>
      <c r="G37" s="211">
        <v>4009</v>
      </c>
      <c r="H37" s="230">
        <f t="shared" si="0"/>
        <v>400.90000000000003</v>
      </c>
      <c r="I37" s="230">
        <f t="shared" si="1"/>
        <v>68.553899999999999</v>
      </c>
      <c r="J37" s="230">
        <f t="shared" si="2"/>
        <v>120.27</v>
      </c>
      <c r="K37" s="230">
        <f t="shared" si="3"/>
        <v>80.180000000000007</v>
      </c>
    </row>
    <row r="38" spans="2:11" s="1" customFormat="1" ht="14.7" thickBot="1">
      <c r="B38" s="195" t="s">
        <v>256</v>
      </c>
      <c r="C38" s="195"/>
      <c r="D38" s="196">
        <v>27</v>
      </c>
      <c r="E38" s="124"/>
      <c r="F38" s="124"/>
      <c r="G38" s="193"/>
      <c r="H38" s="230">
        <f>SUM(H7:H37)</f>
        <v>22987.800000000007</v>
      </c>
      <c r="I38" s="230">
        <f>SUM(I7:I37)</f>
        <v>3930.9138000000012</v>
      </c>
      <c r="J38" s="230">
        <f>SUM(J7:J37)</f>
        <v>6896.34</v>
      </c>
      <c r="K38" s="230">
        <f>SUM(K7:K37)</f>
        <v>4597.5599999999986</v>
      </c>
    </row>
    <row r="39" spans="2:11" s="1" customFormat="1" ht="14.7" thickBot="1">
      <c r="B39" s="191" t="s">
        <v>251</v>
      </c>
      <c r="C39" s="233"/>
      <c r="D39" s="123"/>
      <c r="E39" s="190"/>
      <c r="F39" s="122"/>
      <c r="G39" s="192">
        <f>G7+G9+G10+G11+G12+G13+G14+G16+G17+G18+G19+G21+G22+G23+G24+G25+G26+G28+G29+G30+G31+G32+G33+G34+G35+G36+G37</f>
        <v>229878</v>
      </c>
      <c r="H39" s="231">
        <f>G39*0.1</f>
        <v>22987.800000000003</v>
      </c>
      <c r="I39" s="231">
        <f>G39*0.0171</f>
        <v>3930.9138000000003</v>
      </c>
      <c r="J39" s="231">
        <f>G39*0.03</f>
        <v>6896.34</v>
      </c>
      <c r="K39" s="231">
        <f>G39*0.02</f>
        <v>4597.5600000000004</v>
      </c>
    </row>
    <row r="40" spans="2:11" s="127" customFormat="1" ht="14.7" thickBot="1">
      <c r="B40" s="191" t="s">
        <v>255</v>
      </c>
      <c r="C40" s="233"/>
      <c r="D40" s="123"/>
      <c r="E40" s="123"/>
      <c r="F40" s="122"/>
      <c r="G40" s="192">
        <f>G39*12</f>
        <v>2758536</v>
      </c>
      <c r="H40" s="231">
        <f>G40*0.1</f>
        <v>275853.60000000003</v>
      </c>
      <c r="I40" s="231">
        <f>G40*0.0171</f>
        <v>47170.965600000003</v>
      </c>
      <c r="J40" s="231">
        <f>G40*0.03</f>
        <v>82756.08</v>
      </c>
      <c r="K40" s="231">
        <f>G40*0.02</f>
        <v>55170.720000000001</v>
      </c>
    </row>
    <row r="41" spans="2:11" s="127" customFormat="1">
      <c r="B41" s="122"/>
      <c r="C41" s="122"/>
      <c r="D41" s="123"/>
      <c r="E41" s="123"/>
      <c r="F41" s="122"/>
      <c r="G41" s="124"/>
    </row>
    <row r="42" spans="2:11" s="127" customFormat="1">
      <c r="B42" s="122"/>
      <c r="C42" s="122"/>
      <c r="D42" s="123"/>
      <c r="E42" s="123"/>
      <c r="F42" s="122"/>
      <c r="G42" s="124"/>
    </row>
    <row r="43" spans="2:11" s="127" customFormat="1">
      <c r="B43" s="122"/>
      <c r="C43" s="122"/>
      <c r="D43" s="123"/>
      <c r="E43" s="123"/>
      <c r="F43" s="122"/>
      <c r="G43" s="124"/>
    </row>
    <row r="44" spans="2:11" s="1" customFormat="1">
      <c r="B44" s="4"/>
      <c r="C44" s="4"/>
      <c r="D44" s="5"/>
      <c r="E44" s="5"/>
      <c r="F44" s="5"/>
      <c r="G44" s="31"/>
    </row>
    <row r="45" spans="2:11" s="1" customFormat="1" ht="14.1" customHeight="1">
      <c r="B45" s="45"/>
      <c r="C45" s="45"/>
      <c r="D45" s="45"/>
      <c r="E45" s="133"/>
      <c r="F45" s="133"/>
      <c r="G45" s="133"/>
    </row>
    <row r="46" spans="2:11" s="1" customFormat="1">
      <c r="B46" s="45"/>
      <c r="C46" s="45"/>
      <c r="D46" s="45"/>
      <c r="E46" s="133"/>
      <c r="F46" s="133"/>
      <c r="G46" s="171"/>
    </row>
    <row r="47" spans="2:11" s="1" customFormat="1" ht="14.1" customHeight="1">
      <c r="B47" s="45"/>
      <c r="C47" s="45"/>
      <c r="D47" s="45"/>
      <c r="E47" s="133"/>
      <c r="F47" s="133"/>
      <c r="G47" s="172"/>
    </row>
    <row r="48" spans="2:11" s="1" customFormat="1">
      <c r="B48" s="45"/>
      <c r="C48" s="45"/>
      <c r="D48" s="45"/>
      <c r="E48" s="133"/>
      <c r="F48" s="133"/>
      <c r="G48" s="133"/>
    </row>
    <row r="49" spans="2:7" s="1" customFormat="1" ht="14.1" customHeight="1">
      <c r="B49" s="45"/>
      <c r="C49" s="45"/>
      <c r="D49" s="45"/>
      <c r="E49" s="133"/>
      <c r="F49" s="133"/>
      <c r="G49" s="133"/>
    </row>
    <row r="50" spans="2:7" s="1" customFormat="1" ht="14.1" customHeight="1">
      <c r="B50" s="45"/>
      <c r="C50" s="45"/>
      <c r="D50" s="45"/>
      <c r="E50" s="133"/>
      <c r="F50" s="133"/>
      <c r="G50" s="133"/>
    </row>
    <row r="75" spans="1:10" s="53" customFormat="1">
      <c r="A75"/>
      <c r="B75"/>
      <c r="C75"/>
      <c r="D75"/>
      <c r="E75"/>
      <c r="F75"/>
      <c r="G75"/>
      <c r="H75"/>
      <c r="I75"/>
      <c r="J75"/>
    </row>
    <row r="76" spans="1:10" s="53" customFormat="1">
      <c r="A76"/>
      <c r="B76"/>
      <c r="C76"/>
      <c r="D76"/>
      <c r="E76"/>
      <c r="F76"/>
      <c r="G76"/>
      <c r="H76"/>
      <c r="I76"/>
      <c r="J76"/>
    </row>
    <row r="77" spans="1:10" s="53" customFormat="1">
      <c r="A77"/>
      <c r="B77"/>
      <c r="C77"/>
      <c r="D77"/>
      <c r="E77"/>
      <c r="F77"/>
      <c r="G77"/>
      <c r="H77"/>
      <c r="I77"/>
      <c r="J77"/>
    </row>
    <row r="78" spans="1:10" s="53" customFormat="1">
      <c r="A78"/>
      <c r="B78"/>
      <c r="C78"/>
      <c r="D78"/>
      <c r="E78"/>
      <c r="F78"/>
      <c r="G78"/>
      <c r="H78"/>
      <c r="I78"/>
      <c r="J78"/>
    </row>
    <row r="79" spans="1:10" s="53" customFormat="1">
      <c r="A79"/>
      <c r="B79"/>
      <c r="C79"/>
      <c r="D79"/>
      <c r="E79"/>
      <c r="F79"/>
      <c r="G79"/>
      <c r="H79"/>
      <c r="I79"/>
      <c r="J79"/>
    </row>
    <row r="80" spans="1:10" s="53" customFormat="1">
      <c r="A80"/>
      <c r="B80"/>
      <c r="C80"/>
      <c r="D80"/>
      <c r="E80"/>
      <c r="F80"/>
      <c r="G80"/>
      <c r="H80"/>
      <c r="I80"/>
      <c r="J80"/>
    </row>
    <row r="81" spans="1:10" s="53" customFormat="1">
      <c r="A81"/>
      <c r="B81"/>
      <c r="C81"/>
      <c r="D81"/>
      <c r="E81"/>
      <c r="F81"/>
      <c r="G81"/>
      <c r="H81"/>
      <c r="I81"/>
      <c r="J81"/>
    </row>
    <row r="82" spans="1:10" s="53" customFormat="1">
      <c r="A82"/>
      <c r="B82"/>
      <c r="C82"/>
      <c r="D82"/>
      <c r="E82"/>
      <c r="F82"/>
      <c r="G82"/>
      <c r="H82"/>
      <c r="I82"/>
      <c r="J82"/>
    </row>
    <row r="83" spans="1:10" s="53" customFormat="1">
      <c r="A83"/>
      <c r="B83"/>
      <c r="C83"/>
      <c r="D83"/>
      <c r="E83"/>
      <c r="F83"/>
      <c r="G83"/>
      <c r="H83"/>
      <c r="I83"/>
      <c r="J83"/>
    </row>
    <row r="84" spans="1:10" s="53" customFormat="1">
      <c r="A84"/>
      <c r="B84"/>
      <c r="C84"/>
      <c r="D84"/>
      <c r="E84"/>
      <c r="F84"/>
      <c r="G84"/>
      <c r="H84"/>
      <c r="I84"/>
      <c r="J84"/>
    </row>
  </sheetData>
  <autoFilter ref="B5:G40"/>
  <mergeCells count="16">
    <mergeCell ref="H5:H6"/>
    <mergeCell ref="I5:I6"/>
    <mergeCell ref="J5:J6"/>
    <mergeCell ref="K5:K6"/>
    <mergeCell ref="B27:G27"/>
    <mergeCell ref="B8:G8"/>
    <mergeCell ref="B15:G15"/>
    <mergeCell ref="B20:G20"/>
    <mergeCell ref="C5:C6"/>
    <mergeCell ref="B2:G2"/>
    <mergeCell ref="B5:B6"/>
    <mergeCell ref="D5:D6"/>
    <mergeCell ref="E5:E6"/>
    <mergeCell ref="F5:F6"/>
    <mergeCell ref="G5:G6"/>
    <mergeCell ref="B3:G3"/>
  </mergeCells>
  <printOptions horizontalCentered="1"/>
  <pageMargins left="0.98425196850393704" right="0.2" top="0.25" bottom="0.98425196850393704" header="0.51181102362204722" footer="0.2"/>
  <pageSetup scale="7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showGridLines="0" tabSelected="1" workbookViewId="0">
      <selection activeCell="J24" sqref="J24"/>
    </sheetView>
  </sheetViews>
  <sheetFormatPr baseColWidth="10" defaultColWidth="11.5234375" defaultRowHeight="12.9"/>
  <cols>
    <col min="1" max="1" width="15.89453125" style="288" customWidth="1"/>
    <col min="2" max="2" width="15.5234375" style="288" bestFit="1" customWidth="1"/>
    <col min="3" max="3" width="28.20703125" style="288" customWidth="1"/>
    <col min="4" max="4" width="8.68359375" style="157" customWidth="1"/>
    <col min="5" max="6" width="16.41796875" style="288" customWidth="1"/>
    <col min="7" max="16384" width="11.5234375" style="288"/>
  </cols>
  <sheetData>
    <row r="1" spans="1:6" s="287" customFormat="1">
      <c r="A1" s="380" t="s">
        <v>342</v>
      </c>
      <c r="B1" s="380"/>
      <c r="C1" s="380"/>
      <c r="D1" s="380"/>
      <c r="E1" s="380"/>
      <c r="F1" s="380"/>
    </row>
    <row r="2" spans="1:6">
      <c r="A2" s="380" t="s">
        <v>118</v>
      </c>
      <c r="B2" s="380"/>
      <c r="C2" s="380"/>
      <c r="D2" s="380"/>
      <c r="E2" s="380"/>
      <c r="F2" s="380"/>
    </row>
    <row r="3" spans="1:6">
      <c r="A3" s="381" t="s">
        <v>117</v>
      </c>
      <c r="B3" s="381"/>
      <c r="C3" s="381"/>
      <c r="D3" s="381"/>
      <c r="E3" s="381"/>
      <c r="F3" s="381"/>
    </row>
    <row r="4" spans="1:6" ht="5.4" customHeight="1">
      <c r="A4" s="296"/>
      <c r="B4" s="296"/>
      <c r="C4" s="296"/>
      <c r="D4" s="296"/>
      <c r="E4" s="296"/>
      <c r="F4" s="296"/>
    </row>
    <row r="5" spans="1:6">
      <c r="A5" s="289" t="s">
        <v>245</v>
      </c>
      <c r="B5" s="289" t="s">
        <v>387</v>
      </c>
      <c r="C5" s="289"/>
      <c r="D5" s="290"/>
      <c r="E5" s="289"/>
      <c r="F5" s="289"/>
    </row>
    <row r="6" spans="1:6">
      <c r="A6" s="289" t="s">
        <v>246</v>
      </c>
      <c r="B6" s="289" t="s">
        <v>388</v>
      </c>
      <c r="C6" s="289"/>
      <c r="D6" s="290"/>
      <c r="E6" s="289"/>
      <c r="F6" s="289"/>
    </row>
    <row r="7" spans="1:6">
      <c r="A7" s="289" t="s">
        <v>341</v>
      </c>
      <c r="B7" s="289" t="s">
        <v>389</v>
      </c>
      <c r="C7" s="289"/>
      <c r="D7" s="290"/>
      <c r="E7" s="289"/>
      <c r="F7" s="289"/>
    </row>
    <row r="8" spans="1:6">
      <c r="A8" s="289" t="s">
        <v>123</v>
      </c>
      <c r="B8" s="289" t="s">
        <v>390</v>
      </c>
      <c r="C8" s="289"/>
      <c r="D8" s="290"/>
      <c r="E8" s="289"/>
      <c r="F8" s="289"/>
    </row>
    <row r="9" spans="1:6" ht="7.2" customHeight="1">
      <c r="A9" s="289"/>
      <c r="B9" s="289"/>
      <c r="C9" s="289"/>
      <c r="D9" s="290"/>
      <c r="E9" s="289"/>
      <c r="F9" s="289"/>
    </row>
    <row r="10" spans="1:6" ht="25.2">
      <c r="A10" s="297" t="s">
        <v>112</v>
      </c>
      <c r="B10" s="297" t="s">
        <v>114</v>
      </c>
      <c r="C10" s="297" t="s">
        <v>115</v>
      </c>
      <c r="D10" s="297" t="s">
        <v>394</v>
      </c>
      <c r="E10" s="297" t="s">
        <v>395</v>
      </c>
      <c r="F10" s="297" t="s">
        <v>251</v>
      </c>
    </row>
    <row r="11" spans="1:6">
      <c r="A11" s="499" t="s">
        <v>116</v>
      </c>
      <c r="B11" s="292">
        <v>1</v>
      </c>
      <c r="C11" s="293" t="s">
        <v>382</v>
      </c>
      <c r="D11" s="294">
        <v>1</v>
      </c>
      <c r="E11" s="291">
        <v>13500</v>
      </c>
      <c r="F11" s="291">
        <f>D11*E11</f>
        <v>13500</v>
      </c>
    </row>
    <row r="12" spans="1:6">
      <c r="A12" s="500"/>
      <c r="B12" s="292">
        <v>2</v>
      </c>
      <c r="C12" s="293" t="s">
        <v>392</v>
      </c>
      <c r="D12" s="294">
        <v>3</v>
      </c>
      <c r="E12" s="291">
        <v>11200</v>
      </c>
      <c r="F12" s="291">
        <f t="shared" ref="F12:F21" si="0">D12*E12</f>
        <v>33600</v>
      </c>
    </row>
    <row r="13" spans="1:6">
      <c r="A13" s="499" t="s">
        <v>128</v>
      </c>
      <c r="B13" s="292">
        <v>3</v>
      </c>
      <c r="C13" s="293" t="s">
        <v>393</v>
      </c>
      <c r="D13" s="294">
        <v>3</v>
      </c>
      <c r="E13" s="291">
        <v>10100</v>
      </c>
      <c r="F13" s="291">
        <f t="shared" si="0"/>
        <v>30300</v>
      </c>
    </row>
    <row r="14" spans="1:6">
      <c r="A14" s="501"/>
      <c r="B14" s="292">
        <v>4</v>
      </c>
      <c r="C14" s="293" t="s">
        <v>383</v>
      </c>
      <c r="D14" s="294">
        <v>5</v>
      </c>
      <c r="E14" s="291">
        <v>9800</v>
      </c>
      <c r="F14" s="291">
        <f t="shared" si="0"/>
        <v>49000</v>
      </c>
    </row>
    <row r="15" spans="1:6">
      <c r="A15" s="501"/>
      <c r="B15" s="292">
        <v>5</v>
      </c>
      <c r="C15" s="293" t="s">
        <v>384</v>
      </c>
      <c r="D15" s="294">
        <v>1</v>
      </c>
      <c r="E15" s="291">
        <v>8950</v>
      </c>
      <c r="F15" s="291">
        <f t="shared" si="0"/>
        <v>8950</v>
      </c>
    </row>
    <row r="16" spans="1:6">
      <c r="A16" s="501"/>
      <c r="B16" s="292">
        <v>6</v>
      </c>
      <c r="C16" s="293" t="s">
        <v>385</v>
      </c>
      <c r="D16" s="294">
        <v>2</v>
      </c>
      <c r="E16" s="291">
        <v>7722</v>
      </c>
      <c r="F16" s="291">
        <f t="shared" si="0"/>
        <v>15444</v>
      </c>
    </row>
    <row r="17" spans="1:8">
      <c r="A17" s="501"/>
      <c r="B17" s="292">
        <v>7</v>
      </c>
      <c r="C17" s="293" t="s">
        <v>386</v>
      </c>
      <c r="D17" s="294">
        <v>5</v>
      </c>
      <c r="E17" s="291">
        <v>7204</v>
      </c>
      <c r="F17" s="291">
        <f t="shared" si="0"/>
        <v>36020</v>
      </c>
    </row>
    <row r="18" spans="1:8">
      <c r="A18" s="501"/>
      <c r="B18" s="292">
        <v>8</v>
      </c>
      <c r="C18" s="293" t="s">
        <v>275</v>
      </c>
      <c r="D18" s="294">
        <v>2</v>
      </c>
      <c r="E18" s="291">
        <v>5971</v>
      </c>
      <c r="F18" s="291">
        <f t="shared" si="0"/>
        <v>11942</v>
      </c>
    </row>
    <row r="19" spans="1:8">
      <c r="A19" s="501"/>
      <c r="B19" s="292">
        <v>9</v>
      </c>
      <c r="C19" s="293" t="s">
        <v>306</v>
      </c>
      <c r="D19" s="294">
        <v>1</v>
      </c>
      <c r="E19" s="291">
        <v>5494</v>
      </c>
      <c r="F19" s="291">
        <f t="shared" si="0"/>
        <v>5494</v>
      </c>
    </row>
    <row r="20" spans="1:8">
      <c r="A20" s="501"/>
      <c r="B20" s="292">
        <v>10</v>
      </c>
      <c r="C20" s="293" t="s">
        <v>282</v>
      </c>
      <c r="D20" s="294">
        <v>3</v>
      </c>
      <c r="E20" s="291">
        <v>4009</v>
      </c>
      <c r="F20" s="291">
        <f t="shared" si="0"/>
        <v>12027</v>
      </c>
    </row>
    <row r="21" spans="1:8">
      <c r="A21" s="500"/>
      <c r="B21" s="292">
        <v>11</v>
      </c>
      <c r="C21" s="293" t="s">
        <v>283</v>
      </c>
      <c r="D21" s="294">
        <v>1</v>
      </c>
      <c r="E21" s="291">
        <v>3340</v>
      </c>
      <c r="F21" s="291">
        <f t="shared" si="0"/>
        <v>3340</v>
      </c>
      <c r="H21" s="295"/>
    </row>
    <row r="22" spans="1:8">
      <c r="A22" s="298"/>
      <c r="B22" s="382" t="s">
        <v>391</v>
      </c>
      <c r="C22" s="382"/>
      <c r="D22" s="299">
        <f>SUM(D11:D21)</f>
        <v>27</v>
      </c>
      <c r="E22" s="300">
        <f>SUM(E11:E21)</f>
        <v>87290</v>
      </c>
      <c r="F22" s="300">
        <f>SUM(F11:F21)</f>
        <v>219617</v>
      </c>
    </row>
    <row r="23" spans="1:8">
      <c r="A23" s="301"/>
      <c r="B23" s="374" t="s">
        <v>266</v>
      </c>
      <c r="C23" s="375"/>
      <c r="D23" s="375"/>
      <c r="E23" s="376"/>
      <c r="F23" s="302">
        <f>F22*12</f>
        <v>2635404</v>
      </c>
    </row>
    <row r="24" spans="1:8" s="157" customFormat="1">
      <c r="A24" s="303"/>
      <c r="B24" s="377" t="s">
        <v>343</v>
      </c>
      <c r="C24" s="378"/>
      <c r="D24" s="378"/>
      <c r="E24" s="379"/>
      <c r="F24" s="304">
        <f>(F23*0.1671)+F23</f>
        <v>3075780.0084000002</v>
      </c>
      <c r="G24" s="288"/>
      <c r="H24" s="288"/>
    </row>
    <row r="25" spans="1:8" s="157" customFormat="1">
      <c r="A25" s="289"/>
      <c r="B25" s="289"/>
      <c r="C25" s="289"/>
      <c r="D25" s="290"/>
      <c r="E25" s="289"/>
      <c r="F25" s="289"/>
      <c r="G25" s="288"/>
      <c r="H25" s="288"/>
    </row>
    <row r="26" spans="1:8" s="157" customFormat="1">
      <c r="A26" s="288"/>
      <c r="B26" s="288"/>
      <c r="C26" s="288"/>
      <c r="E26" s="288"/>
      <c r="F26" s="288"/>
      <c r="G26" s="288"/>
      <c r="H26" s="288"/>
    </row>
    <row r="27" spans="1:8" s="157" customFormat="1">
      <c r="A27" s="288"/>
      <c r="B27" s="288"/>
      <c r="C27" s="288"/>
      <c r="E27" s="288"/>
      <c r="F27" s="288"/>
      <c r="G27" s="288"/>
      <c r="H27" s="288"/>
    </row>
    <row r="28" spans="1:8" s="157" customFormat="1">
      <c r="A28" s="288"/>
      <c r="B28" s="288"/>
      <c r="C28" s="288"/>
      <c r="E28" s="288"/>
      <c r="F28" s="288"/>
      <c r="G28" s="288"/>
      <c r="H28" s="288"/>
    </row>
    <row r="29" spans="1:8" s="157" customFormat="1">
      <c r="A29" s="288"/>
      <c r="B29" s="288"/>
      <c r="C29" s="288"/>
      <c r="E29" s="288"/>
      <c r="F29" s="288"/>
      <c r="G29" s="288"/>
      <c r="H29" s="288"/>
    </row>
    <row r="30" spans="1:8" s="157" customFormat="1">
      <c r="A30" s="288"/>
      <c r="B30" s="288"/>
      <c r="C30" s="288"/>
      <c r="E30" s="288"/>
      <c r="F30" s="288"/>
      <c r="G30" s="288"/>
      <c r="H30" s="288"/>
    </row>
    <row r="31" spans="1:8" s="157" customFormat="1">
      <c r="A31" s="288"/>
      <c r="B31" s="288"/>
      <c r="C31" s="288"/>
      <c r="E31" s="288"/>
      <c r="F31" s="288"/>
      <c r="G31" s="288"/>
      <c r="H31" s="288"/>
    </row>
    <row r="32" spans="1:8" s="157" customFormat="1">
      <c r="A32" s="288"/>
      <c r="B32" s="288"/>
      <c r="C32" s="288"/>
      <c r="E32" s="288"/>
      <c r="F32" s="288"/>
      <c r="G32" s="288"/>
      <c r="H32" s="288"/>
    </row>
    <row r="33" spans="1:8" s="157" customFormat="1">
      <c r="A33" s="288"/>
      <c r="B33" s="288"/>
      <c r="C33" s="288"/>
      <c r="E33" s="288"/>
      <c r="F33" s="288"/>
      <c r="G33" s="288"/>
      <c r="H33" s="288"/>
    </row>
  </sheetData>
  <mergeCells count="8">
    <mergeCell ref="B23:E23"/>
    <mergeCell ref="B24:E24"/>
    <mergeCell ref="A1:F1"/>
    <mergeCell ref="A2:F2"/>
    <mergeCell ref="A3:F3"/>
    <mergeCell ref="B22:C22"/>
    <mergeCell ref="A11:A12"/>
    <mergeCell ref="A13:A2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zoomScale="80" zoomScaleNormal="80" workbookViewId="0">
      <selection activeCell="J10" sqref="J10"/>
    </sheetView>
  </sheetViews>
  <sheetFormatPr baseColWidth="10" defaultColWidth="11.41796875" defaultRowHeight="15"/>
  <cols>
    <col min="1" max="1" width="14.41796875" style="327" customWidth="1"/>
    <col min="2" max="2" width="6.5234375" style="305" customWidth="1"/>
    <col min="3" max="3" width="13.15625" style="305" customWidth="1"/>
    <col min="4" max="4" width="24.1015625" style="327" customWidth="1"/>
    <col min="5" max="5" width="13" style="305" customWidth="1"/>
    <col min="6" max="6" width="49.41796875" style="305" customWidth="1"/>
    <col min="7" max="7" width="25.41796875" style="305" customWidth="1"/>
    <col min="8" max="8" width="24.7890625" style="305" customWidth="1"/>
    <col min="9" max="9" width="30.89453125" style="328" customWidth="1"/>
    <col min="10" max="16384" width="11.41796875" style="305"/>
  </cols>
  <sheetData>
    <row r="1" spans="1:9" ht="17.399999999999999">
      <c r="A1" s="388" t="s">
        <v>396</v>
      </c>
      <c r="B1" s="388"/>
      <c r="C1" s="388"/>
      <c r="D1" s="388"/>
      <c r="E1" s="388"/>
      <c r="F1" s="388"/>
      <c r="G1" s="388"/>
      <c r="H1" s="388"/>
      <c r="I1" s="388"/>
    </row>
    <row r="2" spans="1:9" s="306" customFormat="1" ht="17.399999999999999">
      <c r="A2" s="388" t="s">
        <v>397</v>
      </c>
      <c r="B2" s="388"/>
      <c r="C2" s="388"/>
      <c r="D2" s="388"/>
      <c r="E2" s="388"/>
      <c r="F2" s="388"/>
      <c r="G2" s="388"/>
      <c r="H2" s="388"/>
      <c r="I2" s="388"/>
    </row>
    <row r="3" spans="1:9" s="306" customFormat="1" ht="17.399999999999999">
      <c r="A3" s="388" t="s">
        <v>344</v>
      </c>
      <c r="B3" s="388"/>
      <c r="C3" s="388"/>
      <c r="D3" s="388"/>
      <c r="E3" s="388"/>
      <c r="F3" s="388"/>
      <c r="G3" s="388"/>
      <c r="H3" s="388"/>
      <c r="I3" s="388"/>
    </row>
    <row r="4" spans="1:9" s="306" customFormat="1" ht="15.3" thickBot="1">
      <c r="A4" s="307"/>
      <c r="B4" s="307"/>
      <c r="C4" s="307"/>
      <c r="D4" s="307"/>
      <c r="E4" s="307"/>
      <c r="F4" s="307"/>
      <c r="G4" s="307"/>
      <c r="H4" s="307"/>
      <c r="I4" s="307"/>
    </row>
    <row r="5" spans="1:9">
      <c r="A5" s="389" t="s">
        <v>112</v>
      </c>
      <c r="B5" s="392" t="s">
        <v>63</v>
      </c>
      <c r="C5" s="392" t="str">
        <f>'ESCALA SALARIAL'!D10</f>
        <v>FRECUENCIA</v>
      </c>
      <c r="D5" s="392" t="str">
        <f>'ESCALA SALARIAL'!C10</f>
        <v>DENOMINACION DEL PUESTO</v>
      </c>
      <c r="E5" s="392" t="s">
        <v>345</v>
      </c>
      <c r="F5" s="392" t="s">
        <v>346</v>
      </c>
      <c r="G5" s="392" t="s">
        <v>347</v>
      </c>
      <c r="H5" s="392"/>
      <c r="I5" s="393"/>
    </row>
    <row r="6" spans="1:9">
      <c r="A6" s="390"/>
      <c r="B6" s="383"/>
      <c r="C6" s="383"/>
      <c r="D6" s="383"/>
      <c r="E6" s="383"/>
      <c r="F6" s="383"/>
      <c r="G6" s="383" t="s">
        <v>348</v>
      </c>
      <c r="H6" s="383" t="s">
        <v>60</v>
      </c>
      <c r="I6" s="385" t="s">
        <v>61</v>
      </c>
    </row>
    <row r="7" spans="1:9" ht="15.3" thickBot="1">
      <c r="A7" s="391"/>
      <c r="B7" s="384"/>
      <c r="C7" s="384"/>
      <c r="D7" s="384"/>
      <c r="E7" s="384"/>
      <c r="F7" s="384"/>
      <c r="G7" s="384"/>
      <c r="H7" s="384"/>
      <c r="I7" s="386"/>
    </row>
    <row r="8" spans="1:9" ht="30">
      <c r="A8" s="308" t="s">
        <v>349</v>
      </c>
      <c r="B8" s="309">
        <v>1</v>
      </c>
      <c r="C8" s="309">
        <v>1</v>
      </c>
      <c r="D8" s="309" t="str">
        <f>'ESCALA SALARIAL'!C11</f>
        <v>DIRECTOR GENERAL EJECUTIVO</v>
      </c>
      <c r="E8" s="310">
        <f>'ESCALA SALARIAL'!E11</f>
        <v>13500</v>
      </c>
      <c r="F8" s="309" t="s">
        <v>350</v>
      </c>
      <c r="G8" s="309" t="s">
        <v>351</v>
      </c>
      <c r="H8" s="309" t="s">
        <v>351</v>
      </c>
      <c r="I8" s="311" t="s">
        <v>351</v>
      </c>
    </row>
    <row r="9" spans="1:9" ht="75">
      <c r="A9" s="312" t="s">
        <v>349</v>
      </c>
      <c r="B9" s="313">
        <v>2</v>
      </c>
      <c r="C9" s="313">
        <v>3</v>
      </c>
      <c r="D9" s="314" t="str">
        <f>'ESCALA SALARIAL'!C12</f>
        <v>DIRECTOR</v>
      </c>
      <c r="E9" s="315">
        <f>'ESCALA SALARIAL'!E12</f>
        <v>11200</v>
      </c>
      <c r="F9" s="316" t="s">
        <v>398</v>
      </c>
      <c r="G9" s="314" t="s">
        <v>352</v>
      </c>
      <c r="H9" s="314" t="s">
        <v>353</v>
      </c>
      <c r="I9" s="317" t="s">
        <v>354</v>
      </c>
    </row>
    <row r="10" spans="1:9" ht="75">
      <c r="A10" s="312" t="s">
        <v>128</v>
      </c>
      <c r="B10" s="318">
        <v>3</v>
      </c>
      <c r="C10" s="318">
        <v>3</v>
      </c>
      <c r="D10" s="314" t="str">
        <f>'ESCALA SALARIAL'!C13</f>
        <v>JEFE DE UNIDAD</v>
      </c>
      <c r="E10" s="315">
        <f>'ESCALA SALARIAL'!E13</f>
        <v>10100</v>
      </c>
      <c r="F10" s="316"/>
      <c r="G10" s="314" t="s">
        <v>352</v>
      </c>
      <c r="H10" s="314" t="s">
        <v>355</v>
      </c>
      <c r="I10" s="317" t="s">
        <v>356</v>
      </c>
    </row>
    <row r="11" spans="1:9" ht="75">
      <c r="A11" s="312" t="s">
        <v>128</v>
      </c>
      <c r="B11" s="313">
        <v>4</v>
      </c>
      <c r="C11" s="313">
        <v>5</v>
      </c>
      <c r="D11" s="314" t="str">
        <f>'ESCALA SALARIAL'!C14</f>
        <v>PROFESIONAL I</v>
      </c>
      <c r="E11" s="315">
        <f>'ESCALA SALARIAL'!E14</f>
        <v>9800</v>
      </c>
      <c r="F11" s="316"/>
      <c r="G11" s="314" t="s">
        <v>352</v>
      </c>
      <c r="H11" s="314" t="s">
        <v>357</v>
      </c>
      <c r="I11" s="317" t="s">
        <v>358</v>
      </c>
    </row>
    <row r="12" spans="1:9" ht="75">
      <c r="A12" s="319" t="s">
        <v>128</v>
      </c>
      <c r="B12" s="318">
        <v>5</v>
      </c>
      <c r="C12" s="318">
        <v>1</v>
      </c>
      <c r="D12" s="313" t="str">
        <f>'ESCALA SALARIAL'!C15</f>
        <v>PROFESIONAL II</v>
      </c>
      <c r="E12" s="315">
        <f>'ESCALA SALARIAL'!E15</f>
        <v>8950</v>
      </c>
      <c r="F12" s="316"/>
      <c r="G12" s="314" t="s">
        <v>359</v>
      </c>
      <c r="H12" s="314" t="s">
        <v>360</v>
      </c>
      <c r="I12" s="317" t="s">
        <v>361</v>
      </c>
    </row>
    <row r="13" spans="1:9" ht="75">
      <c r="A13" s="319" t="s">
        <v>128</v>
      </c>
      <c r="B13" s="313">
        <v>6</v>
      </c>
      <c r="C13" s="313">
        <v>2</v>
      </c>
      <c r="D13" s="313" t="str">
        <f>'ESCALA SALARIAL'!C16</f>
        <v>TECNICO I</v>
      </c>
      <c r="E13" s="315">
        <f>'ESCALA SALARIAL'!E16</f>
        <v>7722</v>
      </c>
      <c r="F13" s="316"/>
      <c r="G13" s="314" t="s">
        <v>359</v>
      </c>
      <c r="H13" s="314" t="s">
        <v>362</v>
      </c>
      <c r="I13" s="317" t="s">
        <v>363</v>
      </c>
    </row>
    <row r="14" spans="1:9" ht="60">
      <c r="A14" s="319" t="s">
        <v>128</v>
      </c>
      <c r="B14" s="320">
        <v>7</v>
      </c>
      <c r="C14" s="320">
        <v>5</v>
      </c>
      <c r="D14" s="313" t="str">
        <f>'ESCALA SALARIAL'!C17</f>
        <v>TECNICO II</v>
      </c>
      <c r="E14" s="315">
        <f>'ESCALA SALARIAL'!E17</f>
        <v>7204</v>
      </c>
      <c r="F14" s="316"/>
      <c r="G14" s="314" t="s">
        <v>364</v>
      </c>
      <c r="H14" s="314" t="s">
        <v>365</v>
      </c>
      <c r="I14" s="317" t="s">
        <v>366</v>
      </c>
    </row>
    <row r="15" spans="1:9" ht="75">
      <c r="A15" s="319" t="s">
        <v>128</v>
      </c>
      <c r="B15" s="320">
        <v>8</v>
      </c>
      <c r="C15" s="320">
        <v>2</v>
      </c>
      <c r="D15" s="313" t="str">
        <f>'ESCALA SALARIAL'!C18</f>
        <v>ADMINISTRATIVO I</v>
      </c>
      <c r="E15" s="315">
        <f>'ESCALA SALARIAL'!E18</f>
        <v>5971</v>
      </c>
      <c r="F15" s="316" t="s">
        <v>399</v>
      </c>
      <c r="G15" s="314" t="s">
        <v>367</v>
      </c>
      <c r="H15" s="314" t="s">
        <v>368</v>
      </c>
      <c r="I15" s="317" t="s">
        <v>369</v>
      </c>
    </row>
    <row r="16" spans="1:9" ht="60">
      <c r="A16" s="319" t="s">
        <v>128</v>
      </c>
      <c r="B16" s="286">
        <v>9</v>
      </c>
      <c r="C16" s="286">
        <v>1</v>
      </c>
      <c r="D16" s="313" t="str">
        <f>'ESCALA SALARIAL'!C19</f>
        <v>ADMINISTRATIVO II</v>
      </c>
      <c r="E16" s="315">
        <f>'ESCALA SALARIAL'!E19</f>
        <v>5494</v>
      </c>
      <c r="F16" s="316"/>
      <c r="G16" s="314" t="s">
        <v>370</v>
      </c>
      <c r="H16" s="314" t="s">
        <v>371</v>
      </c>
      <c r="I16" s="317" t="s">
        <v>372</v>
      </c>
    </row>
    <row r="17" spans="1:9" ht="60">
      <c r="A17" s="319" t="s">
        <v>128</v>
      </c>
      <c r="B17" s="320">
        <v>10</v>
      </c>
      <c r="C17" s="320">
        <v>3</v>
      </c>
      <c r="D17" s="313" t="str">
        <f>'ESCALA SALARIAL'!C20</f>
        <v xml:space="preserve">AUXILIAR I </v>
      </c>
      <c r="E17" s="315">
        <f>'ESCALA SALARIAL'!E20</f>
        <v>4009</v>
      </c>
      <c r="F17" s="316"/>
      <c r="G17" s="314" t="s">
        <v>373</v>
      </c>
      <c r="H17" s="314" t="s">
        <v>374</v>
      </c>
      <c r="I17" s="317" t="s">
        <v>375</v>
      </c>
    </row>
    <row r="18" spans="1:9" ht="30.3" thickBot="1">
      <c r="A18" s="321" t="s">
        <v>128</v>
      </c>
      <c r="B18" s="322">
        <v>11</v>
      </c>
      <c r="C18" s="322">
        <v>1</v>
      </c>
      <c r="D18" s="323" t="str">
        <f>'ESCALA SALARIAL'!C21</f>
        <v xml:space="preserve">AUXILIAR II </v>
      </c>
      <c r="E18" s="324">
        <f>'ESCALA SALARIAL'!E21</f>
        <v>3340</v>
      </c>
      <c r="F18" s="325" t="s">
        <v>400</v>
      </c>
      <c r="G18" s="323" t="s">
        <v>373</v>
      </c>
      <c r="H18" s="323"/>
      <c r="I18" s="326"/>
    </row>
    <row r="20" spans="1:9">
      <c r="A20" s="329" t="s">
        <v>376</v>
      </c>
    </row>
    <row r="21" spans="1:9">
      <c r="A21" s="329" t="s">
        <v>377</v>
      </c>
    </row>
    <row r="22" spans="1:9">
      <c r="A22" s="329"/>
    </row>
    <row r="24" spans="1:9" ht="138.6" customHeight="1">
      <c r="A24" s="387" t="s">
        <v>378</v>
      </c>
      <c r="B24" s="387"/>
      <c r="C24" s="387"/>
      <c r="D24" s="387" t="s">
        <v>379</v>
      </c>
      <c r="E24" s="387"/>
      <c r="F24" s="330" t="s">
        <v>380</v>
      </c>
      <c r="G24" s="387" t="s">
        <v>381</v>
      </c>
      <c r="H24" s="387"/>
    </row>
  </sheetData>
  <mergeCells count="16">
    <mergeCell ref="A1:I1"/>
    <mergeCell ref="A2:I2"/>
    <mergeCell ref="A3:I3"/>
    <mergeCell ref="A5:A7"/>
    <mergeCell ref="B5:B7"/>
    <mergeCell ref="C5:C7"/>
    <mergeCell ref="D5:D7"/>
    <mergeCell ref="E5:E7"/>
    <mergeCell ref="F5:F7"/>
    <mergeCell ref="G5:I5"/>
    <mergeCell ref="G6:G7"/>
    <mergeCell ref="H6:H7"/>
    <mergeCell ref="I6:I7"/>
    <mergeCell ref="A24:C24"/>
    <mergeCell ref="D24:E24"/>
    <mergeCell ref="G24:H2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M36"/>
  <sheetViews>
    <sheetView topLeftCell="B1" workbookViewId="0"/>
  </sheetViews>
  <sheetFormatPr baseColWidth="10" defaultRowHeight="14.4"/>
  <cols>
    <col min="1" max="1" width="3.1015625" hidden="1" customWidth="1"/>
    <col min="2" max="2" width="14.68359375" customWidth="1"/>
    <col min="3" max="3" width="19.3125" customWidth="1"/>
    <col min="4" max="4" width="7.89453125" customWidth="1"/>
    <col min="5" max="5" width="11.3125" customWidth="1"/>
    <col min="7" max="19" width="0" hidden="1" customWidth="1"/>
    <col min="20" max="20" width="10.41796875" customWidth="1"/>
    <col min="21" max="21" width="13.41796875" customWidth="1"/>
    <col min="22" max="22" width="9.89453125" hidden="1" customWidth="1"/>
    <col min="23" max="23" width="12" hidden="1" customWidth="1"/>
    <col min="24" max="24" width="0" hidden="1" customWidth="1"/>
    <col min="25" max="25" width="8.41796875" hidden="1" customWidth="1"/>
    <col min="26" max="26" width="13.41796875" customWidth="1"/>
    <col min="27" max="27" width="2.89453125" customWidth="1"/>
    <col min="28" max="28" width="14.3125" customWidth="1"/>
    <col min="29" max="29" width="17.1015625" customWidth="1"/>
    <col min="30" max="30" width="8.5234375" customWidth="1"/>
    <col min="33" max="33" width="9" customWidth="1"/>
    <col min="34" max="34" width="13.89453125" customWidth="1"/>
    <col min="35" max="37" width="11.41796875" hidden="1" customWidth="1"/>
    <col min="38" max="38" width="10.89453125" hidden="1" customWidth="1"/>
    <col min="39" max="39" width="13.5234375" customWidth="1"/>
  </cols>
  <sheetData>
    <row r="2" spans="2:39" ht="15" customHeight="1">
      <c r="C2" s="403"/>
      <c r="D2" s="403"/>
      <c r="E2" s="403"/>
      <c r="F2" s="403"/>
      <c r="G2" s="403"/>
      <c r="H2" s="403"/>
      <c r="I2" s="403"/>
      <c r="J2" s="403"/>
      <c r="K2" s="403"/>
      <c r="L2" s="403"/>
      <c r="M2" s="403"/>
      <c r="N2" s="403"/>
      <c r="O2" s="403"/>
      <c r="P2" s="403"/>
      <c r="Q2" s="403"/>
      <c r="R2" s="403"/>
      <c r="S2" s="403"/>
      <c r="T2" s="403"/>
      <c r="U2" s="403"/>
      <c r="V2" s="403"/>
      <c r="W2" s="403"/>
      <c r="X2" s="403"/>
      <c r="Y2" s="403"/>
      <c r="Z2" s="403"/>
    </row>
    <row r="3" spans="2:39" ht="15.3">
      <c r="B3" s="406" t="s">
        <v>336</v>
      </c>
      <c r="C3" s="406"/>
      <c r="D3" s="406"/>
      <c r="E3" s="406"/>
      <c r="F3" s="406"/>
      <c r="G3" s="406"/>
      <c r="H3" s="406"/>
      <c r="I3" s="406"/>
      <c r="J3" s="406"/>
      <c r="K3" s="406"/>
      <c r="L3" s="406"/>
      <c r="M3" s="406"/>
      <c r="N3" s="406"/>
      <c r="O3" s="406"/>
      <c r="P3" s="406"/>
      <c r="Q3" s="406"/>
      <c r="R3" s="406"/>
      <c r="S3" s="406"/>
      <c r="T3" s="406"/>
      <c r="U3" s="406"/>
      <c r="V3" s="406"/>
      <c r="W3" s="406"/>
      <c r="X3" s="406"/>
      <c r="Y3" s="406"/>
      <c r="Z3" s="406"/>
      <c r="AA3" s="406"/>
      <c r="AB3" s="406"/>
      <c r="AC3" s="406"/>
      <c r="AD3" s="406"/>
      <c r="AE3" s="406"/>
      <c r="AF3" s="406"/>
      <c r="AG3" s="406"/>
      <c r="AH3" s="406"/>
      <c r="AI3" s="406"/>
      <c r="AJ3" s="406"/>
      <c r="AK3" s="406"/>
      <c r="AL3" s="406"/>
      <c r="AM3" s="406"/>
    </row>
    <row r="4" spans="2:39" ht="15" customHeight="1">
      <c r="B4" s="407" t="s">
        <v>337</v>
      </c>
      <c r="C4" s="407"/>
      <c r="D4" s="407"/>
      <c r="E4" s="407"/>
      <c r="F4" s="407"/>
      <c r="G4" s="407"/>
      <c r="H4" s="407"/>
      <c r="I4" s="407"/>
      <c r="J4" s="407"/>
      <c r="K4" s="407"/>
      <c r="L4" s="407"/>
      <c r="M4" s="407"/>
      <c r="N4" s="407"/>
      <c r="O4" s="407"/>
      <c r="P4" s="407"/>
      <c r="Q4" s="407"/>
      <c r="R4" s="407"/>
      <c r="S4" s="407"/>
      <c r="T4" s="407"/>
      <c r="U4" s="407"/>
      <c r="V4" s="407"/>
      <c r="W4" s="407"/>
      <c r="X4" s="407"/>
      <c r="Y4" s="407"/>
      <c r="Z4" s="407"/>
      <c r="AA4" s="407"/>
      <c r="AB4" s="407"/>
      <c r="AC4" s="407"/>
      <c r="AD4" s="407"/>
      <c r="AE4" s="407"/>
      <c r="AF4" s="407"/>
      <c r="AG4" s="407"/>
      <c r="AH4" s="407"/>
      <c r="AI4" s="407"/>
      <c r="AJ4" s="407"/>
      <c r="AK4" s="407"/>
      <c r="AL4" s="407"/>
      <c r="AM4" s="407"/>
    </row>
    <row r="5" spans="2:39" ht="20.25" customHeight="1">
      <c r="B5" s="408" t="s">
        <v>339</v>
      </c>
      <c r="C5" s="408"/>
      <c r="D5" s="408"/>
      <c r="E5" s="408"/>
      <c r="F5" s="408"/>
      <c r="G5" s="408"/>
      <c r="H5" s="408"/>
      <c r="I5" s="408"/>
      <c r="J5" s="408"/>
      <c r="K5" s="408"/>
      <c r="L5" s="408"/>
      <c r="M5" s="408"/>
      <c r="N5" s="408"/>
      <c r="O5" s="408"/>
      <c r="P5" s="408"/>
      <c r="Q5" s="408"/>
      <c r="R5" s="408"/>
      <c r="S5" s="408"/>
      <c r="T5" s="408"/>
      <c r="U5" s="408"/>
      <c r="V5" s="408"/>
      <c r="W5" s="408"/>
      <c r="X5" s="408"/>
      <c r="Y5" s="408"/>
      <c r="Z5" s="408"/>
      <c r="AA5" s="408"/>
      <c r="AB5" s="408"/>
      <c r="AC5" s="408"/>
      <c r="AD5" s="408"/>
      <c r="AE5" s="408"/>
      <c r="AF5" s="408"/>
      <c r="AG5" s="408"/>
      <c r="AH5" s="408"/>
      <c r="AI5" s="408"/>
      <c r="AJ5" s="408"/>
      <c r="AK5" s="408"/>
      <c r="AL5" s="408"/>
      <c r="AM5" s="408"/>
    </row>
    <row r="6" spans="2:39" ht="14.7" thickBot="1">
      <c r="B6" s="4"/>
      <c r="C6" s="4"/>
      <c r="D6" s="5"/>
      <c r="E6" s="5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6"/>
      <c r="V6" s="413"/>
      <c r="W6" s="413"/>
      <c r="X6" s="413"/>
      <c r="Y6" s="413"/>
      <c r="Z6" s="1"/>
    </row>
    <row r="7" spans="2:39" ht="15" customHeight="1">
      <c r="B7" s="404" t="s">
        <v>303</v>
      </c>
      <c r="C7" s="397" t="s">
        <v>304</v>
      </c>
      <c r="D7" s="397" t="s">
        <v>3</v>
      </c>
      <c r="E7" s="414" t="s">
        <v>249</v>
      </c>
      <c r="F7" s="416" t="s">
        <v>259</v>
      </c>
      <c r="G7" s="418" t="s">
        <v>264</v>
      </c>
      <c r="H7" s="418"/>
      <c r="I7" s="418"/>
      <c r="J7" s="418"/>
      <c r="K7" s="418"/>
      <c r="L7" s="418"/>
      <c r="M7" s="418"/>
      <c r="N7" s="418"/>
      <c r="O7" s="418"/>
      <c r="P7" s="418"/>
      <c r="Q7" s="418"/>
      <c r="R7" s="419"/>
      <c r="S7" s="409" t="s">
        <v>7</v>
      </c>
      <c r="T7" s="411" t="s">
        <v>8</v>
      </c>
      <c r="U7" s="409" t="s">
        <v>9</v>
      </c>
      <c r="V7" s="394" t="s">
        <v>10</v>
      </c>
      <c r="W7" s="394"/>
      <c r="X7" s="394"/>
      <c r="Y7" s="394"/>
      <c r="Z7" s="395" t="s">
        <v>50</v>
      </c>
      <c r="AB7" s="404" t="str">
        <f>'[1]PLANILLA SALARIAL '!B5</f>
        <v>DENOMINACIÓN DEL PUESTO</v>
      </c>
      <c r="AC7" s="397" t="str">
        <f>'[1]PLANILLA SALARIAL '!C5</f>
        <v xml:space="preserve">DESCRIPCIÓN DE PUESTO </v>
      </c>
      <c r="AD7" s="397" t="str">
        <f>'[1]PLANILLA SALARIAL '!E5</f>
        <v>GESTION</v>
      </c>
      <c r="AE7" s="399" t="str">
        <f>'[1]PLANILLA SALARIAL '!F5</f>
        <v xml:space="preserve">CATEGORIA </v>
      </c>
      <c r="AF7" s="401" t="str">
        <f>'[1]PLANILLA SALARIAL '!G5</f>
        <v xml:space="preserve">HABER BASICO </v>
      </c>
      <c r="AG7" s="411" t="s">
        <v>8</v>
      </c>
      <c r="AH7" s="409" t="s">
        <v>9</v>
      </c>
      <c r="AI7" s="394" t="s">
        <v>10</v>
      </c>
      <c r="AJ7" s="394"/>
      <c r="AK7" s="394"/>
      <c r="AL7" s="394"/>
      <c r="AM7" s="395" t="s">
        <v>50</v>
      </c>
    </row>
    <row r="8" spans="2:39" ht="45.9" thickBot="1">
      <c r="B8" s="405"/>
      <c r="C8" s="398"/>
      <c r="D8" s="398"/>
      <c r="E8" s="415"/>
      <c r="F8" s="417"/>
      <c r="G8" s="255" t="s">
        <v>11</v>
      </c>
      <c r="H8" s="255" t="s">
        <v>12</v>
      </c>
      <c r="I8" s="255" t="s">
        <v>13</v>
      </c>
      <c r="J8" s="255" t="s">
        <v>14</v>
      </c>
      <c r="K8" s="255" t="s">
        <v>15</v>
      </c>
      <c r="L8" s="255" t="s">
        <v>16</v>
      </c>
      <c r="M8" s="255" t="s">
        <v>17</v>
      </c>
      <c r="N8" s="255" t="s">
        <v>18</v>
      </c>
      <c r="O8" s="255" t="s">
        <v>19</v>
      </c>
      <c r="P8" s="255" t="s">
        <v>20</v>
      </c>
      <c r="Q8" s="255" t="s">
        <v>21</v>
      </c>
      <c r="R8" s="255" t="s">
        <v>22</v>
      </c>
      <c r="S8" s="410"/>
      <c r="T8" s="412"/>
      <c r="U8" s="410"/>
      <c r="V8" s="256" t="s">
        <v>338</v>
      </c>
      <c r="W8" s="256" t="s">
        <v>263</v>
      </c>
      <c r="X8" s="256" t="s">
        <v>261</v>
      </c>
      <c r="Y8" s="256" t="s">
        <v>262</v>
      </c>
      <c r="Z8" s="396"/>
      <c r="AB8" s="405"/>
      <c r="AC8" s="398"/>
      <c r="AD8" s="398"/>
      <c r="AE8" s="400"/>
      <c r="AF8" s="402"/>
      <c r="AG8" s="412"/>
      <c r="AH8" s="410"/>
      <c r="AI8" s="256" t="s">
        <v>338</v>
      </c>
      <c r="AJ8" s="256" t="s">
        <v>263</v>
      </c>
      <c r="AK8" s="256" t="s">
        <v>261</v>
      </c>
      <c r="AL8" s="256" t="s">
        <v>262</v>
      </c>
      <c r="AM8" s="396"/>
    </row>
    <row r="9" spans="2:39" ht="33.75" customHeight="1">
      <c r="B9" s="243" t="str">
        <f>'ESTRUCTURA DE CARGOS'!B7</f>
        <v>Especialista II</v>
      </c>
      <c r="C9" s="244" t="str">
        <f>'ESTRUCTURA DE CARGOS'!C7</f>
        <v>Director General Ejecutivo</v>
      </c>
      <c r="D9" s="245">
        <v>2024</v>
      </c>
      <c r="E9" s="246" t="s">
        <v>116</v>
      </c>
      <c r="F9" s="272">
        <f>'ESTRUCTURA DE CARGOS'!G7</f>
        <v>16958</v>
      </c>
      <c r="G9" s="266">
        <v>30</v>
      </c>
      <c r="H9" s="247">
        <v>30</v>
      </c>
      <c r="I9" s="247">
        <v>30</v>
      </c>
      <c r="J9" s="247">
        <v>30</v>
      </c>
      <c r="K9" s="247">
        <v>30</v>
      </c>
      <c r="L9" s="247">
        <v>30</v>
      </c>
      <c r="M9" s="247">
        <v>30</v>
      </c>
      <c r="N9" s="247">
        <v>30</v>
      </c>
      <c r="O9" s="247">
        <v>30</v>
      </c>
      <c r="P9" s="247">
        <v>30</v>
      </c>
      <c r="Q9" s="247">
        <v>30</v>
      </c>
      <c r="R9" s="247">
        <v>30</v>
      </c>
      <c r="S9" s="247">
        <f>SUM(G9:R9)</f>
        <v>360</v>
      </c>
      <c r="T9" s="247">
        <f>+S9/30</f>
        <v>12</v>
      </c>
      <c r="U9" s="247">
        <f>ROUND(PRODUCT(F9*T9),0)</f>
        <v>203496</v>
      </c>
      <c r="V9" s="247">
        <f>U9*0.1</f>
        <v>20349.600000000002</v>
      </c>
      <c r="W9" s="247">
        <f>U9*0.0171</f>
        <v>3479.7816000000003</v>
      </c>
      <c r="X9" s="247">
        <f>U9*0.03</f>
        <v>6104.88</v>
      </c>
      <c r="Y9" s="267">
        <f>U9*0.02</f>
        <v>4069.92</v>
      </c>
      <c r="Z9" s="272">
        <f>SUM(U9:Y9)</f>
        <v>237500.18160000001</v>
      </c>
      <c r="AB9" s="243" t="str">
        <f>'[1]PLANILLA SALARIAL '!B7</f>
        <v>Especialista II</v>
      </c>
      <c r="AC9" s="244" t="str">
        <f>'[1]PLANILLA SALARIAL '!C7</f>
        <v>Director General Ejecutivo</v>
      </c>
      <c r="AD9" s="219">
        <f>'[1]PLANILLA SALARIAL '!E7</f>
        <v>2023</v>
      </c>
      <c r="AE9" s="220" t="str">
        <f>'[1]PLANILLA SALARIAL '!F7</f>
        <v>EJECUTIVO</v>
      </c>
      <c r="AF9" s="281">
        <f>'[1]PLANILLA SALARIAL '!G7</f>
        <v>16958</v>
      </c>
      <c r="AG9" s="247">
        <v>12</v>
      </c>
      <c r="AH9" s="247">
        <f>AF9*AG9</f>
        <v>203496</v>
      </c>
      <c r="AI9" s="247">
        <f>AH9*0.1</f>
        <v>20349.600000000002</v>
      </c>
      <c r="AJ9" s="247">
        <f>AH9*0.0171</f>
        <v>3479.7816000000003</v>
      </c>
      <c r="AK9" s="247">
        <f>AH9*0.03</f>
        <v>6104.88</v>
      </c>
      <c r="AL9" s="267">
        <f>AH9*0.02</f>
        <v>4069.92</v>
      </c>
      <c r="AM9" s="272">
        <f>SUM(AH9:AL9)</f>
        <v>237500.18160000001</v>
      </c>
    </row>
    <row r="10" spans="2:39" ht="45" customHeight="1">
      <c r="B10" s="248" t="str">
        <f>'ESTRUCTURA DE CARGOS'!B9</f>
        <v>Profesional VII</v>
      </c>
      <c r="C10" s="249" t="str">
        <f>'ESTRUCTURA DE CARGOS'!C9</f>
        <v>Responsable de la Unida de Auditoria Interna</v>
      </c>
      <c r="D10" s="250">
        <v>2024</v>
      </c>
      <c r="E10" s="251" t="s">
        <v>253</v>
      </c>
      <c r="F10" s="273">
        <f>'ESTRUCTURA DE CARGOS'!G9</f>
        <v>10693</v>
      </c>
      <c r="G10" s="266">
        <v>30</v>
      </c>
      <c r="H10" s="252">
        <v>30</v>
      </c>
      <c r="I10" s="252">
        <v>30</v>
      </c>
      <c r="J10" s="252">
        <v>30</v>
      </c>
      <c r="K10" s="252">
        <v>30</v>
      </c>
      <c r="L10" s="252">
        <v>30</v>
      </c>
      <c r="M10" s="252">
        <v>30</v>
      </c>
      <c r="N10" s="252">
        <v>30</v>
      </c>
      <c r="O10" s="252">
        <v>30</v>
      </c>
      <c r="P10" s="252">
        <v>30</v>
      </c>
      <c r="Q10" s="252">
        <v>30</v>
      </c>
      <c r="R10" s="252">
        <v>30</v>
      </c>
      <c r="S10" s="252">
        <f t="shared" ref="S10:S35" si="0">SUM(G10:R10)</f>
        <v>360</v>
      </c>
      <c r="T10" s="252">
        <f t="shared" ref="T10:T35" si="1">+S10/30</f>
        <v>12</v>
      </c>
      <c r="U10" s="252">
        <f t="shared" ref="U10:U28" si="2">ROUND(PRODUCT(F10*T10),0)</f>
        <v>128316</v>
      </c>
      <c r="V10" s="252">
        <f t="shared" ref="V10:V35" si="3">U10*0.1</f>
        <v>12831.6</v>
      </c>
      <c r="W10" s="252">
        <f t="shared" ref="W10:W35" si="4">U10*0.0171</f>
        <v>2194.2036000000003</v>
      </c>
      <c r="X10" s="252">
        <f t="shared" ref="X10:X35" si="5">U10*0.03</f>
        <v>3849.48</v>
      </c>
      <c r="Y10" s="268">
        <f t="shared" ref="Y10:Y35" si="6">U10*0.02</f>
        <v>2566.3200000000002</v>
      </c>
      <c r="Z10" s="273">
        <f t="shared" ref="Z10:Z26" si="7">SUM(U10:Y10)</f>
        <v>149757.60360000003</v>
      </c>
      <c r="AB10" s="248" t="str">
        <f>'[1]PLANILLA SALARIAL '!B8</f>
        <v>Profesional VII</v>
      </c>
      <c r="AC10" s="249" t="str">
        <f>'[1]PLANILLA SALARIAL '!C8</f>
        <v>Responsable de la Unida de Auditoria Interna</v>
      </c>
      <c r="AD10" s="14">
        <f>'[1]PLANILLA SALARIAL '!E8</f>
        <v>2023</v>
      </c>
      <c r="AE10" s="15" t="str">
        <f>'[1]PLANILLA SALARIAL '!F8</f>
        <v xml:space="preserve">OPERATIVO </v>
      </c>
      <c r="AF10" s="282">
        <f>'[1]PLANILLA SALARIAL '!G8</f>
        <v>10693</v>
      </c>
      <c r="AG10" s="247">
        <v>12</v>
      </c>
      <c r="AH10" s="247">
        <f t="shared" ref="AH10:AH35" si="8">AF10*AG10</f>
        <v>128316</v>
      </c>
      <c r="AI10" s="247">
        <f t="shared" ref="AI10:AI35" si="9">AH10*0.1</f>
        <v>12831.6</v>
      </c>
      <c r="AJ10" s="247">
        <f t="shared" ref="AJ10:AJ35" si="10">AH10*0.0171</f>
        <v>2194.2036000000003</v>
      </c>
      <c r="AK10" s="247">
        <f t="shared" ref="AK10:AK35" si="11">AH10*0.03</f>
        <v>3849.48</v>
      </c>
      <c r="AL10" s="267">
        <f t="shared" ref="AL10:AL35" si="12">AH10*0.02</f>
        <v>2566.3200000000002</v>
      </c>
      <c r="AM10" s="272">
        <f t="shared" ref="AM10:AM35" si="13">SUM(AH10:AL10)</f>
        <v>149757.60360000003</v>
      </c>
    </row>
    <row r="11" spans="2:39" ht="45" customHeight="1">
      <c r="B11" s="258" t="str">
        <f>'ESTRUCTURA DE CARGOS'!B10</f>
        <v xml:space="preserve">Administrativo I </v>
      </c>
      <c r="C11" s="259" t="str">
        <f>'ESTRUCTURA DE CARGOS'!C10</f>
        <v xml:space="preserve">Profesional en Transparencia y Lucha contra la Corrupcion </v>
      </c>
      <c r="D11" s="260">
        <v>2024</v>
      </c>
      <c r="E11" s="261" t="s">
        <v>253</v>
      </c>
      <c r="F11" s="274">
        <f>'ESTRUCTURA DE CARGOS'!G10</f>
        <v>5971</v>
      </c>
      <c r="G11" s="269">
        <v>30</v>
      </c>
      <c r="H11" s="262">
        <v>30</v>
      </c>
      <c r="I11" s="262">
        <v>30</v>
      </c>
      <c r="J11" s="262">
        <v>30</v>
      </c>
      <c r="K11" s="262">
        <v>30</v>
      </c>
      <c r="L11" s="262">
        <v>30</v>
      </c>
      <c r="M11" s="262">
        <v>30</v>
      </c>
      <c r="N11" s="262">
        <v>30</v>
      </c>
      <c r="O11" s="262">
        <v>30</v>
      </c>
      <c r="P11" s="262">
        <v>30</v>
      </c>
      <c r="Q11" s="262">
        <v>30</v>
      </c>
      <c r="R11" s="262">
        <v>30</v>
      </c>
      <c r="S11" s="262">
        <f t="shared" si="0"/>
        <v>360</v>
      </c>
      <c r="T11" s="262">
        <f t="shared" si="1"/>
        <v>12</v>
      </c>
      <c r="U11" s="262">
        <f t="shared" si="2"/>
        <v>71652</v>
      </c>
      <c r="V11" s="262">
        <f t="shared" si="3"/>
        <v>7165.2000000000007</v>
      </c>
      <c r="W11" s="262">
        <f t="shared" si="4"/>
        <v>1225.2492</v>
      </c>
      <c r="X11" s="262">
        <f t="shared" si="5"/>
        <v>2149.56</v>
      </c>
      <c r="Y11" s="270">
        <f t="shared" si="6"/>
        <v>1433.04</v>
      </c>
      <c r="Z11" s="274">
        <f t="shared" si="7"/>
        <v>83625.049199999994</v>
      </c>
      <c r="AA11" s="263"/>
      <c r="AB11" s="258" t="str">
        <f>'[1]PLANILLA SALARIAL '!B9</f>
        <v xml:space="preserve">Tecnico VI </v>
      </c>
      <c r="AC11" s="259" t="str">
        <f>'[1]PLANILLA SALARIAL '!C9</f>
        <v xml:space="preserve">Profesional en Transparencia y Lucha contra la Corrupcion </v>
      </c>
      <c r="AD11" s="224">
        <f>'[1]PLANILLA SALARIAL '!E9</f>
        <v>2023</v>
      </c>
      <c r="AE11" s="225" t="str">
        <f>'[1]PLANILLA SALARIAL '!F9</f>
        <v xml:space="preserve">OPERATIVO </v>
      </c>
      <c r="AF11" s="283">
        <f>'[1]PLANILLA SALARIAL '!G9</f>
        <v>6906</v>
      </c>
      <c r="AG11" s="264">
        <v>11</v>
      </c>
      <c r="AH11" s="264">
        <f t="shared" si="8"/>
        <v>75966</v>
      </c>
      <c r="AI11" s="264">
        <f t="shared" si="9"/>
        <v>7596.6</v>
      </c>
      <c r="AJ11" s="264">
        <f t="shared" si="10"/>
        <v>1299.0186000000001</v>
      </c>
      <c r="AK11" s="264">
        <f t="shared" si="11"/>
        <v>2278.98</v>
      </c>
      <c r="AL11" s="284">
        <f t="shared" si="12"/>
        <v>1519.32</v>
      </c>
      <c r="AM11" s="285">
        <f t="shared" si="13"/>
        <v>88659.918600000005</v>
      </c>
    </row>
    <row r="12" spans="2:39" ht="33.75" customHeight="1">
      <c r="B12" s="248" t="str">
        <f>'ESTRUCTURA DE CARGOS'!B11</f>
        <v xml:space="preserve">Tecnico VI </v>
      </c>
      <c r="C12" s="249" t="str">
        <f>'ESTRUCTURA DE CARGOS'!C11</f>
        <v>Profesional en Planificacion Institucional</v>
      </c>
      <c r="D12" s="250">
        <v>2024</v>
      </c>
      <c r="E12" s="251" t="s">
        <v>253</v>
      </c>
      <c r="F12" s="273">
        <f>'ESTRUCTURA DE CARGOS'!G11</f>
        <v>7204</v>
      </c>
      <c r="G12" s="266">
        <v>30</v>
      </c>
      <c r="H12" s="252">
        <v>30</v>
      </c>
      <c r="I12" s="252">
        <v>30</v>
      </c>
      <c r="J12" s="252">
        <v>30</v>
      </c>
      <c r="K12" s="252">
        <v>30</v>
      </c>
      <c r="L12" s="252">
        <v>30</v>
      </c>
      <c r="M12" s="252">
        <v>30</v>
      </c>
      <c r="N12" s="252">
        <v>30</v>
      </c>
      <c r="O12" s="252">
        <v>30</v>
      </c>
      <c r="P12" s="252">
        <v>30</v>
      </c>
      <c r="Q12" s="252">
        <v>30</v>
      </c>
      <c r="R12" s="252">
        <v>30</v>
      </c>
      <c r="S12" s="252">
        <f t="shared" si="0"/>
        <v>360</v>
      </c>
      <c r="T12" s="252">
        <f t="shared" si="1"/>
        <v>12</v>
      </c>
      <c r="U12" s="252">
        <f t="shared" si="2"/>
        <v>86448</v>
      </c>
      <c r="V12" s="252">
        <f t="shared" si="3"/>
        <v>8644.8000000000011</v>
      </c>
      <c r="W12" s="252">
        <f t="shared" si="4"/>
        <v>1478.2608</v>
      </c>
      <c r="X12" s="252">
        <f t="shared" si="5"/>
        <v>2593.44</v>
      </c>
      <c r="Y12" s="268">
        <f t="shared" si="6"/>
        <v>1728.96</v>
      </c>
      <c r="Z12" s="273">
        <f t="shared" si="7"/>
        <v>100893.46080000002</v>
      </c>
      <c r="AB12" s="248" t="str">
        <f>'[1]PLANILLA SALARIAL '!B10</f>
        <v xml:space="preserve">Tecnico VI </v>
      </c>
      <c r="AC12" s="249" t="str">
        <f>'[1]PLANILLA SALARIAL '!C10</f>
        <v>Profesional en Planificacion Institucional</v>
      </c>
      <c r="AD12" s="14">
        <f>'[1]PLANILLA SALARIAL '!E10</f>
        <v>2023</v>
      </c>
      <c r="AE12" s="15" t="str">
        <f>'[1]PLANILLA SALARIAL '!F10</f>
        <v xml:space="preserve">OPERATIVO </v>
      </c>
      <c r="AF12" s="282">
        <f>'[1]PLANILLA SALARIAL '!G10</f>
        <v>6906</v>
      </c>
      <c r="AG12" s="247">
        <v>11</v>
      </c>
      <c r="AH12" s="247">
        <f t="shared" si="8"/>
        <v>75966</v>
      </c>
      <c r="AI12" s="247">
        <f t="shared" si="9"/>
        <v>7596.6</v>
      </c>
      <c r="AJ12" s="247">
        <f t="shared" si="10"/>
        <v>1299.0186000000001</v>
      </c>
      <c r="AK12" s="247">
        <f t="shared" si="11"/>
        <v>2278.98</v>
      </c>
      <c r="AL12" s="267">
        <f t="shared" si="12"/>
        <v>1519.32</v>
      </c>
      <c r="AM12" s="272">
        <f t="shared" si="13"/>
        <v>88659.918600000005</v>
      </c>
    </row>
    <row r="13" spans="2:39" ht="33.75" customHeight="1">
      <c r="B13" s="248" t="str">
        <f>'ESTRUCTURA DE CARGOS'!B12</f>
        <v>Tecnico VI</v>
      </c>
      <c r="C13" s="249" t="str">
        <f>'ESTRUCTURA DE CARGOS'!C12</f>
        <v xml:space="preserve">Profesional en Comunicación Institucional </v>
      </c>
      <c r="D13" s="250">
        <v>2024</v>
      </c>
      <c r="E13" s="251" t="s">
        <v>253</v>
      </c>
      <c r="F13" s="273">
        <f>'ESTRUCTURA DE CARGOS'!G12</f>
        <v>7204</v>
      </c>
      <c r="G13" s="266">
        <v>30</v>
      </c>
      <c r="H13" s="252">
        <v>30</v>
      </c>
      <c r="I13" s="252">
        <v>30</v>
      </c>
      <c r="J13" s="252">
        <v>30</v>
      </c>
      <c r="K13" s="252">
        <v>30</v>
      </c>
      <c r="L13" s="252">
        <v>30</v>
      </c>
      <c r="M13" s="252">
        <v>30</v>
      </c>
      <c r="N13" s="252">
        <v>30</v>
      </c>
      <c r="O13" s="252">
        <v>30</v>
      </c>
      <c r="P13" s="252">
        <v>30</v>
      </c>
      <c r="Q13" s="252">
        <v>30</v>
      </c>
      <c r="R13" s="252">
        <v>30</v>
      </c>
      <c r="S13" s="252">
        <f t="shared" si="0"/>
        <v>360</v>
      </c>
      <c r="T13" s="252">
        <f t="shared" si="1"/>
        <v>12</v>
      </c>
      <c r="U13" s="252">
        <f t="shared" si="2"/>
        <v>86448</v>
      </c>
      <c r="V13" s="252">
        <f t="shared" si="3"/>
        <v>8644.8000000000011</v>
      </c>
      <c r="W13" s="252">
        <f t="shared" si="4"/>
        <v>1478.2608</v>
      </c>
      <c r="X13" s="252">
        <f t="shared" si="5"/>
        <v>2593.44</v>
      </c>
      <c r="Y13" s="268">
        <f t="shared" si="6"/>
        <v>1728.96</v>
      </c>
      <c r="Z13" s="273">
        <f t="shared" si="7"/>
        <v>100893.46080000002</v>
      </c>
      <c r="AB13" s="248" t="str">
        <f>'[1]PLANILLA SALARIAL '!B11</f>
        <v>Tecnico VI</v>
      </c>
      <c r="AC13" s="249" t="str">
        <f>'[1]PLANILLA SALARIAL '!C11</f>
        <v xml:space="preserve">Profesional en Comunicación Institucional </v>
      </c>
      <c r="AD13" s="14">
        <f>'[1]PLANILLA SALARIAL '!E11</f>
        <v>2023</v>
      </c>
      <c r="AE13" s="15" t="str">
        <f>'[1]PLANILLA SALARIAL '!F11</f>
        <v xml:space="preserve">OPERATIVO </v>
      </c>
      <c r="AF13" s="282">
        <f>'[1]PLANILLA SALARIAL '!G11</f>
        <v>6906</v>
      </c>
      <c r="AG13" s="247">
        <v>11</v>
      </c>
      <c r="AH13" s="247">
        <f t="shared" si="8"/>
        <v>75966</v>
      </c>
      <c r="AI13" s="247">
        <f t="shared" si="9"/>
        <v>7596.6</v>
      </c>
      <c r="AJ13" s="247">
        <f t="shared" si="10"/>
        <v>1299.0186000000001</v>
      </c>
      <c r="AK13" s="247">
        <f t="shared" si="11"/>
        <v>2278.98</v>
      </c>
      <c r="AL13" s="267">
        <f t="shared" si="12"/>
        <v>1519.32</v>
      </c>
      <c r="AM13" s="272">
        <f t="shared" si="13"/>
        <v>88659.918600000005</v>
      </c>
    </row>
    <row r="14" spans="2:39" ht="22.5" customHeight="1">
      <c r="B14" s="248" t="str">
        <f>'ESTRUCTURA DE CARGOS'!B13</f>
        <v>Auxiliar I</v>
      </c>
      <c r="C14" s="249" t="str">
        <f>'ESTRUCTURA DE CARGOS'!C13</f>
        <v>Secretaria de DGE</v>
      </c>
      <c r="D14" s="250">
        <v>2024</v>
      </c>
      <c r="E14" s="251" t="s">
        <v>253</v>
      </c>
      <c r="F14" s="273">
        <f>'ESTRUCTURA DE CARGOS'!G13</f>
        <v>4009</v>
      </c>
      <c r="G14" s="266">
        <v>30</v>
      </c>
      <c r="H14" s="252">
        <v>30</v>
      </c>
      <c r="I14" s="252">
        <v>30</v>
      </c>
      <c r="J14" s="252">
        <v>30</v>
      </c>
      <c r="K14" s="252">
        <v>30</v>
      </c>
      <c r="L14" s="252">
        <v>30</v>
      </c>
      <c r="M14" s="252">
        <v>30</v>
      </c>
      <c r="N14" s="252">
        <v>30</v>
      </c>
      <c r="O14" s="252">
        <v>30</v>
      </c>
      <c r="P14" s="252">
        <v>30</v>
      </c>
      <c r="Q14" s="252">
        <v>30</v>
      </c>
      <c r="R14" s="252">
        <v>30</v>
      </c>
      <c r="S14" s="252">
        <f t="shared" si="0"/>
        <v>360</v>
      </c>
      <c r="T14" s="252">
        <f t="shared" si="1"/>
        <v>12</v>
      </c>
      <c r="U14" s="252">
        <f t="shared" si="2"/>
        <v>48108</v>
      </c>
      <c r="V14" s="252">
        <f t="shared" si="3"/>
        <v>4810.8</v>
      </c>
      <c r="W14" s="252">
        <f t="shared" si="4"/>
        <v>822.64679999999998</v>
      </c>
      <c r="X14" s="252">
        <f t="shared" si="5"/>
        <v>1443.24</v>
      </c>
      <c r="Y14" s="268">
        <f t="shared" si="6"/>
        <v>962.16</v>
      </c>
      <c r="Z14" s="273">
        <f t="shared" si="7"/>
        <v>56146.846800000007</v>
      </c>
      <c r="AB14" s="248" t="str">
        <f>'[1]PLANILLA SALARIAL '!B12</f>
        <v>Auxiliar I</v>
      </c>
      <c r="AC14" s="249" t="str">
        <f>'[1]PLANILLA SALARIAL '!C12</f>
        <v>Secretaria de DGE</v>
      </c>
      <c r="AD14" s="14">
        <f>'[1]PLANILLA SALARIAL '!E12</f>
        <v>2023</v>
      </c>
      <c r="AE14" s="15" t="str">
        <f>'[1]PLANILLA SALARIAL '!F12</f>
        <v xml:space="preserve">OPERATIVO </v>
      </c>
      <c r="AF14" s="282">
        <f>'[1]PLANILLA SALARIAL '!G12</f>
        <v>4009</v>
      </c>
      <c r="AG14" s="247">
        <v>12</v>
      </c>
      <c r="AH14" s="247">
        <f t="shared" si="8"/>
        <v>48108</v>
      </c>
      <c r="AI14" s="247">
        <f t="shared" si="9"/>
        <v>4810.8</v>
      </c>
      <c r="AJ14" s="247">
        <f t="shared" si="10"/>
        <v>822.64679999999998</v>
      </c>
      <c r="AK14" s="247">
        <f t="shared" si="11"/>
        <v>1443.24</v>
      </c>
      <c r="AL14" s="267">
        <f t="shared" si="12"/>
        <v>962.16</v>
      </c>
      <c r="AM14" s="272">
        <f t="shared" si="13"/>
        <v>56146.846800000007</v>
      </c>
    </row>
    <row r="15" spans="2:39" ht="33.75" customHeight="1">
      <c r="B15" s="248" t="str">
        <f>'ESTRUCTURA DE CARGOS'!B14</f>
        <v>Auxiliar I</v>
      </c>
      <c r="C15" s="249" t="str">
        <f>'ESTRUCTURA DE CARGOS'!C14</f>
        <v>Chofer Mensajero DGE</v>
      </c>
      <c r="D15" s="250">
        <v>2024</v>
      </c>
      <c r="E15" s="251" t="s">
        <v>253</v>
      </c>
      <c r="F15" s="273">
        <f>'ESTRUCTURA DE CARGOS'!G14</f>
        <v>4009</v>
      </c>
      <c r="G15" s="266">
        <v>30</v>
      </c>
      <c r="H15" s="252">
        <v>30</v>
      </c>
      <c r="I15" s="252">
        <v>30</v>
      </c>
      <c r="J15" s="252">
        <v>30</v>
      </c>
      <c r="K15" s="252">
        <v>30</v>
      </c>
      <c r="L15" s="252">
        <v>30</v>
      </c>
      <c r="M15" s="252">
        <v>30</v>
      </c>
      <c r="N15" s="252">
        <v>30</v>
      </c>
      <c r="O15" s="252">
        <v>30</v>
      </c>
      <c r="P15" s="252">
        <v>30</v>
      </c>
      <c r="Q15" s="252">
        <v>30</v>
      </c>
      <c r="R15" s="252">
        <v>30</v>
      </c>
      <c r="S15" s="252">
        <f t="shared" si="0"/>
        <v>360</v>
      </c>
      <c r="T15" s="252">
        <f t="shared" si="1"/>
        <v>12</v>
      </c>
      <c r="U15" s="252">
        <f t="shared" si="2"/>
        <v>48108</v>
      </c>
      <c r="V15" s="252">
        <f t="shared" si="3"/>
        <v>4810.8</v>
      </c>
      <c r="W15" s="252">
        <f t="shared" si="4"/>
        <v>822.64679999999998</v>
      </c>
      <c r="X15" s="252">
        <f t="shared" si="5"/>
        <v>1443.24</v>
      </c>
      <c r="Y15" s="268">
        <f t="shared" si="6"/>
        <v>962.16</v>
      </c>
      <c r="Z15" s="273">
        <f t="shared" si="7"/>
        <v>56146.846800000007</v>
      </c>
      <c r="AB15" s="248" t="str">
        <f>'[1]PLANILLA SALARIAL '!B13</f>
        <v>Auxiliar I</v>
      </c>
      <c r="AC15" s="249" t="str">
        <f>'[1]PLANILLA SALARIAL '!C13</f>
        <v>Chofer Mensajero DGE</v>
      </c>
      <c r="AD15" s="14">
        <f>'[1]PLANILLA SALARIAL '!E13</f>
        <v>2023</v>
      </c>
      <c r="AE15" s="15" t="str">
        <f>'[1]PLANILLA SALARIAL '!F13</f>
        <v xml:space="preserve">OPERATIVO </v>
      </c>
      <c r="AF15" s="282">
        <f>'[1]PLANILLA SALARIAL '!G13</f>
        <v>4009</v>
      </c>
      <c r="AG15" s="247">
        <v>12</v>
      </c>
      <c r="AH15" s="247">
        <f t="shared" si="8"/>
        <v>48108</v>
      </c>
      <c r="AI15" s="247">
        <f t="shared" si="9"/>
        <v>4810.8</v>
      </c>
      <c r="AJ15" s="247">
        <f t="shared" si="10"/>
        <v>822.64679999999998</v>
      </c>
      <c r="AK15" s="247">
        <f t="shared" si="11"/>
        <v>1443.24</v>
      </c>
      <c r="AL15" s="267">
        <f t="shared" si="12"/>
        <v>962.16</v>
      </c>
      <c r="AM15" s="272">
        <f t="shared" si="13"/>
        <v>56146.846800000007</v>
      </c>
    </row>
    <row r="16" spans="2:39" ht="33.75" customHeight="1">
      <c r="B16" s="248" t="str">
        <f>'ESTRUCTURA DE CARGOS'!B16</f>
        <v>Responsable IV</v>
      </c>
      <c r="C16" s="249" t="str">
        <f>'ESTRUCTURA DE CARGOS'!C16</f>
        <v>Director de Asuntos Juridicos</v>
      </c>
      <c r="D16" s="250">
        <v>2024</v>
      </c>
      <c r="E16" s="251" t="s">
        <v>253</v>
      </c>
      <c r="F16" s="273">
        <f>'ESTRUCTURA DE CARGOS'!G16</f>
        <v>13738</v>
      </c>
      <c r="G16" s="266">
        <v>30</v>
      </c>
      <c r="H16" s="252">
        <v>30</v>
      </c>
      <c r="I16" s="252">
        <v>30</v>
      </c>
      <c r="J16" s="252">
        <v>30</v>
      </c>
      <c r="K16" s="252">
        <v>30</v>
      </c>
      <c r="L16" s="252">
        <v>30</v>
      </c>
      <c r="M16" s="252">
        <v>30</v>
      </c>
      <c r="N16" s="252">
        <v>30</v>
      </c>
      <c r="O16" s="252">
        <v>30</v>
      </c>
      <c r="P16" s="252">
        <v>30</v>
      </c>
      <c r="Q16" s="252">
        <v>30</v>
      </c>
      <c r="R16" s="252">
        <v>30</v>
      </c>
      <c r="S16" s="252">
        <f t="shared" si="0"/>
        <v>360</v>
      </c>
      <c r="T16" s="252">
        <f t="shared" si="1"/>
        <v>12</v>
      </c>
      <c r="U16" s="252">
        <f t="shared" si="2"/>
        <v>164856</v>
      </c>
      <c r="V16" s="252">
        <f t="shared" si="3"/>
        <v>16485.600000000002</v>
      </c>
      <c r="W16" s="252">
        <f t="shared" si="4"/>
        <v>2819.0376000000001</v>
      </c>
      <c r="X16" s="252">
        <f t="shared" si="5"/>
        <v>4945.6799999999994</v>
      </c>
      <c r="Y16" s="268">
        <f t="shared" si="6"/>
        <v>3297.12</v>
      </c>
      <c r="Z16" s="273">
        <f t="shared" si="7"/>
        <v>192403.4376</v>
      </c>
      <c r="AB16" s="248" t="str">
        <f>'[1]PLANILLA SALARIAL '!B14</f>
        <v>Responsable IV</v>
      </c>
      <c r="AC16" s="249" t="str">
        <f>'[1]PLANILLA SALARIAL '!C14</f>
        <v>Director de Asuntos Juridicos</v>
      </c>
      <c r="AD16" s="14">
        <f>'[1]PLANILLA SALARIAL '!E14</f>
        <v>2023</v>
      </c>
      <c r="AE16" s="15" t="str">
        <f>'[1]PLANILLA SALARIAL '!F14</f>
        <v xml:space="preserve">OPERATIVO </v>
      </c>
      <c r="AF16" s="282">
        <f>'[1]PLANILLA SALARIAL '!G14</f>
        <v>13738</v>
      </c>
      <c r="AG16" s="247">
        <v>12</v>
      </c>
      <c r="AH16" s="247">
        <f t="shared" si="8"/>
        <v>164856</v>
      </c>
      <c r="AI16" s="247">
        <f t="shared" si="9"/>
        <v>16485.600000000002</v>
      </c>
      <c r="AJ16" s="247">
        <f t="shared" si="10"/>
        <v>2819.0376000000001</v>
      </c>
      <c r="AK16" s="247">
        <f t="shared" si="11"/>
        <v>4945.6799999999994</v>
      </c>
      <c r="AL16" s="267">
        <f t="shared" si="12"/>
        <v>3297.12</v>
      </c>
      <c r="AM16" s="272">
        <f t="shared" si="13"/>
        <v>192403.4376</v>
      </c>
    </row>
    <row r="17" spans="2:39" ht="33.75" customHeight="1">
      <c r="B17" s="258" t="str">
        <f>'ESTRUCTURA DE CARGOS'!B17</f>
        <v>Tecnico IV</v>
      </c>
      <c r="C17" s="259" t="str">
        <f>'ESTRUCTURA DE CARGOS'!C17</f>
        <v>Profesional en Analisis Juridico</v>
      </c>
      <c r="D17" s="260">
        <v>2024</v>
      </c>
      <c r="E17" s="261" t="s">
        <v>253</v>
      </c>
      <c r="F17" s="274">
        <f>'ESTRUCTURA DE CARGOS'!G17</f>
        <v>8950</v>
      </c>
      <c r="G17" s="269">
        <v>30</v>
      </c>
      <c r="H17" s="262">
        <v>30</v>
      </c>
      <c r="I17" s="262">
        <v>30</v>
      </c>
      <c r="J17" s="262">
        <v>30</v>
      </c>
      <c r="K17" s="262">
        <v>30</v>
      </c>
      <c r="L17" s="262">
        <v>30</v>
      </c>
      <c r="M17" s="262">
        <v>30</v>
      </c>
      <c r="N17" s="262">
        <v>30</v>
      </c>
      <c r="O17" s="262">
        <v>30</v>
      </c>
      <c r="P17" s="262">
        <v>30</v>
      </c>
      <c r="Q17" s="262">
        <v>30</v>
      </c>
      <c r="R17" s="262">
        <v>30</v>
      </c>
      <c r="S17" s="262">
        <f t="shared" si="0"/>
        <v>360</v>
      </c>
      <c r="T17" s="262">
        <f t="shared" si="1"/>
        <v>12</v>
      </c>
      <c r="U17" s="262">
        <f t="shared" si="2"/>
        <v>107400</v>
      </c>
      <c r="V17" s="262">
        <f t="shared" si="3"/>
        <v>10740</v>
      </c>
      <c r="W17" s="262">
        <f t="shared" si="4"/>
        <v>1836.54</v>
      </c>
      <c r="X17" s="262">
        <f t="shared" si="5"/>
        <v>3222</v>
      </c>
      <c r="Y17" s="270">
        <f t="shared" si="6"/>
        <v>2148</v>
      </c>
      <c r="Z17" s="274">
        <f t="shared" si="7"/>
        <v>125346.54</v>
      </c>
      <c r="AA17" s="263"/>
      <c r="AB17" s="258" t="str">
        <f>'[1]PLANILLA SALARIAL '!B15</f>
        <v>Tecnico VI</v>
      </c>
      <c r="AC17" s="259" t="str">
        <f>'[1]PLANILLA SALARIAL '!C15</f>
        <v>Profesional en Analisis Juridico</v>
      </c>
      <c r="AD17" s="224">
        <f>'[1]PLANILLA SALARIAL '!E15</f>
        <v>2023</v>
      </c>
      <c r="AE17" s="225" t="str">
        <f>'[1]PLANILLA SALARIAL '!F15</f>
        <v xml:space="preserve">OPERATIVO </v>
      </c>
      <c r="AF17" s="283">
        <f>'[1]PLANILLA SALARIAL '!G15</f>
        <v>6906</v>
      </c>
      <c r="AG17" s="264">
        <v>11</v>
      </c>
      <c r="AH17" s="264">
        <f t="shared" si="8"/>
        <v>75966</v>
      </c>
      <c r="AI17" s="264">
        <f t="shared" si="9"/>
        <v>7596.6</v>
      </c>
      <c r="AJ17" s="264">
        <f t="shared" si="10"/>
        <v>1299.0186000000001</v>
      </c>
      <c r="AK17" s="264">
        <f t="shared" si="11"/>
        <v>2278.98</v>
      </c>
      <c r="AL17" s="284">
        <f t="shared" si="12"/>
        <v>1519.32</v>
      </c>
      <c r="AM17" s="285">
        <f t="shared" si="13"/>
        <v>88659.918600000005</v>
      </c>
    </row>
    <row r="18" spans="2:39" ht="33.75" customHeight="1">
      <c r="B18" s="258" t="str">
        <f>'ESTRUCTURA DE CARGOS'!B18</f>
        <v>Tecnico VI</v>
      </c>
      <c r="C18" s="259" t="str">
        <f>'ESTRUCTURA DE CARGOS'!C18</f>
        <v>Profesional en Gestion Juridica</v>
      </c>
      <c r="D18" s="260">
        <v>2024</v>
      </c>
      <c r="E18" s="261" t="s">
        <v>253</v>
      </c>
      <c r="F18" s="274">
        <f>'ESTRUCTURA DE CARGOS'!G18</f>
        <v>7204</v>
      </c>
      <c r="G18" s="269">
        <v>30</v>
      </c>
      <c r="H18" s="262">
        <v>30</v>
      </c>
      <c r="I18" s="262">
        <v>30</v>
      </c>
      <c r="J18" s="262">
        <v>30</v>
      </c>
      <c r="K18" s="262">
        <v>30</v>
      </c>
      <c r="L18" s="262">
        <v>30</v>
      </c>
      <c r="M18" s="262">
        <v>30</v>
      </c>
      <c r="N18" s="262">
        <v>30</v>
      </c>
      <c r="O18" s="262">
        <v>30</v>
      </c>
      <c r="P18" s="262">
        <v>30</v>
      </c>
      <c r="Q18" s="262">
        <v>30</v>
      </c>
      <c r="R18" s="262">
        <v>30</v>
      </c>
      <c r="S18" s="262">
        <f t="shared" si="0"/>
        <v>360</v>
      </c>
      <c r="T18" s="262">
        <f t="shared" si="1"/>
        <v>12</v>
      </c>
      <c r="U18" s="262">
        <f t="shared" si="2"/>
        <v>86448</v>
      </c>
      <c r="V18" s="262">
        <f t="shared" si="3"/>
        <v>8644.8000000000011</v>
      </c>
      <c r="W18" s="262">
        <f t="shared" si="4"/>
        <v>1478.2608</v>
      </c>
      <c r="X18" s="262">
        <f t="shared" si="5"/>
        <v>2593.44</v>
      </c>
      <c r="Y18" s="270">
        <f t="shared" si="6"/>
        <v>1728.96</v>
      </c>
      <c r="Z18" s="274">
        <f t="shared" si="7"/>
        <v>100893.46080000002</v>
      </c>
      <c r="AA18" s="263"/>
      <c r="AB18" s="258" t="str">
        <f>'[1]PLANILLA SALARIAL '!B16</f>
        <v>Tecnico V</v>
      </c>
      <c r="AC18" s="259" t="str">
        <f>'[1]PLANILLA SALARIAL '!C16</f>
        <v>Profesional en Gestion Juridica</v>
      </c>
      <c r="AD18" s="224">
        <f>'[1]PLANILLA SALARIAL '!E16</f>
        <v>2023</v>
      </c>
      <c r="AE18" s="225" t="str">
        <f>'[1]PLANILLA SALARIAL '!F16</f>
        <v xml:space="preserve">OPERATIVO </v>
      </c>
      <c r="AF18" s="283">
        <f>'[1]PLANILLA SALARIAL '!G16</f>
        <v>7722</v>
      </c>
      <c r="AG18" s="264">
        <v>11</v>
      </c>
      <c r="AH18" s="264">
        <f t="shared" si="8"/>
        <v>84942</v>
      </c>
      <c r="AI18" s="264">
        <f t="shared" si="9"/>
        <v>8494.2000000000007</v>
      </c>
      <c r="AJ18" s="264">
        <f t="shared" si="10"/>
        <v>1452.5082</v>
      </c>
      <c r="AK18" s="264">
        <f t="shared" si="11"/>
        <v>2548.2599999999998</v>
      </c>
      <c r="AL18" s="284">
        <f t="shared" si="12"/>
        <v>1698.8400000000001</v>
      </c>
      <c r="AM18" s="285">
        <f t="shared" si="13"/>
        <v>99135.808199999985</v>
      </c>
    </row>
    <row r="19" spans="2:39" ht="33.75" customHeight="1">
      <c r="B19" s="248" t="str">
        <f>'ESTRUCTURA DE CARGOS'!B19</f>
        <v>Administrativo II</v>
      </c>
      <c r="C19" s="249" t="str">
        <f>'ESTRUCTURA DE CARGOS'!C19</f>
        <v xml:space="preserve">Tecnico Abogado Procurador </v>
      </c>
      <c r="D19" s="250">
        <v>2024</v>
      </c>
      <c r="E19" s="251" t="s">
        <v>253</v>
      </c>
      <c r="F19" s="273">
        <f>'ESTRUCTURA DE CARGOS'!G19</f>
        <v>5494</v>
      </c>
      <c r="G19" s="266">
        <v>30</v>
      </c>
      <c r="H19" s="252">
        <v>30</v>
      </c>
      <c r="I19" s="252">
        <v>30</v>
      </c>
      <c r="J19" s="252">
        <v>30</v>
      </c>
      <c r="K19" s="252">
        <v>30</v>
      </c>
      <c r="L19" s="252">
        <v>30</v>
      </c>
      <c r="M19" s="252">
        <v>30</v>
      </c>
      <c r="N19" s="252">
        <v>30</v>
      </c>
      <c r="O19" s="252">
        <v>30</v>
      </c>
      <c r="P19" s="252">
        <v>30</v>
      </c>
      <c r="Q19" s="252">
        <v>30</v>
      </c>
      <c r="R19" s="252">
        <v>30</v>
      </c>
      <c r="S19" s="252">
        <f t="shared" si="0"/>
        <v>360</v>
      </c>
      <c r="T19" s="252">
        <f t="shared" si="1"/>
        <v>12</v>
      </c>
      <c r="U19" s="252">
        <f t="shared" si="2"/>
        <v>65928</v>
      </c>
      <c r="V19" s="252">
        <f t="shared" si="3"/>
        <v>6592.8</v>
      </c>
      <c r="W19" s="252">
        <f t="shared" si="4"/>
        <v>1127.3688</v>
      </c>
      <c r="X19" s="252">
        <f t="shared" si="5"/>
        <v>1977.84</v>
      </c>
      <c r="Y19" s="268">
        <f t="shared" si="6"/>
        <v>1318.56</v>
      </c>
      <c r="Z19" s="273">
        <f t="shared" si="7"/>
        <v>76944.568799999994</v>
      </c>
      <c r="AB19" s="248" t="str">
        <f>'[1]PLANILLA SALARIAL '!B17</f>
        <v>Administrativo II</v>
      </c>
      <c r="AC19" s="249" t="str">
        <f>'[1]PLANILLA SALARIAL '!C17</f>
        <v xml:space="preserve">Tecnico Abogado Procurador </v>
      </c>
      <c r="AD19" s="14">
        <f>'[1]PLANILLA SALARIAL '!E17</f>
        <v>2023</v>
      </c>
      <c r="AE19" s="15" t="str">
        <f>'[1]PLANILLA SALARIAL '!F17</f>
        <v xml:space="preserve">OPERATIVO </v>
      </c>
      <c r="AF19" s="282">
        <f>'[1]PLANILLA SALARIAL '!G17</f>
        <v>5494</v>
      </c>
      <c r="AG19" s="247">
        <v>11</v>
      </c>
      <c r="AH19" s="247">
        <f t="shared" si="8"/>
        <v>60434</v>
      </c>
      <c r="AI19" s="247">
        <f t="shared" si="9"/>
        <v>6043.4000000000005</v>
      </c>
      <c r="AJ19" s="247">
        <f t="shared" si="10"/>
        <v>1033.4213999999999</v>
      </c>
      <c r="AK19" s="247">
        <f t="shared" si="11"/>
        <v>1813.02</v>
      </c>
      <c r="AL19" s="267">
        <f t="shared" si="12"/>
        <v>1208.68</v>
      </c>
      <c r="AM19" s="272">
        <f t="shared" si="13"/>
        <v>70532.521399999998</v>
      </c>
    </row>
    <row r="20" spans="2:39" ht="33.75" customHeight="1">
      <c r="B20" s="248" t="str">
        <f>'ESTRUCTURA DE CARGOS'!B21</f>
        <v>Responsable IV</v>
      </c>
      <c r="C20" s="249" t="str">
        <f>'ESTRUCTURA DE CARGOS'!C21</f>
        <v>Director Administrativo Financiero</v>
      </c>
      <c r="D20" s="250">
        <v>2024</v>
      </c>
      <c r="E20" s="251" t="s">
        <v>253</v>
      </c>
      <c r="F20" s="273">
        <f>'ESTRUCTURA DE CARGOS'!G21</f>
        <v>13738</v>
      </c>
      <c r="G20" s="266">
        <v>30</v>
      </c>
      <c r="H20" s="252">
        <v>30</v>
      </c>
      <c r="I20" s="252">
        <v>30</v>
      </c>
      <c r="J20" s="252">
        <v>30</v>
      </c>
      <c r="K20" s="252">
        <v>30</v>
      </c>
      <c r="L20" s="252">
        <v>30</v>
      </c>
      <c r="M20" s="252">
        <v>30</v>
      </c>
      <c r="N20" s="252">
        <v>30</v>
      </c>
      <c r="O20" s="252">
        <v>30</v>
      </c>
      <c r="P20" s="252">
        <v>30</v>
      </c>
      <c r="Q20" s="252">
        <v>30</v>
      </c>
      <c r="R20" s="252">
        <v>30</v>
      </c>
      <c r="S20" s="252">
        <f t="shared" si="0"/>
        <v>360</v>
      </c>
      <c r="T20" s="252">
        <f t="shared" si="1"/>
        <v>12</v>
      </c>
      <c r="U20" s="252">
        <f t="shared" si="2"/>
        <v>164856</v>
      </c>
      <c r="V20" s="252">
        <f t="shared" si="3"/>
        <v>16485.600000000002</v>
      </c>
      <c r="W20" s="252">
        <f t="shared" si="4"/>
        <v>2819.0376000000001</v>
      </c>
      <c r="X20" s="252">
        <f t="shared" si="5"/>
        <v>4945.6799999999994</v>
      </c>
      <c r="Y20" s="268">
        <f t="shared" si="6"/>
        <v>3297.12</v>
      </c>
      <c r="Z20" s="273">
        <f t="shared" si="7"/>
        <v>192403.4376</v>
      </c>
      <c r="AB20" s="248" t="str">
        <f>'[1]PLANILLA SALARIAL '!B18</f>
        <v>Responsable IV</v>
      </c>
      <c r="AC20" s="249" t="str">
        <f>'[1]PLANILLA SALARIAL '!C18</f>
        <v>Director Administrativo Financiero</v>
      </c>
      <c r="AD20" s="14">
        <f>'[1]PLANILLA SALARIAL '!E18</f>
        <v>2023</v>
      </c>
      <c r="AE20" s="15" t="str">
        <f>'[1]PLANILLA SALARIAL '!F18</f>
        <v xml:space="preserve">OPERATIVO </v>
      </c>
      <c r="AF20" s="282">
        <f>'[1]PLANILLA SALARIAL '!G18</f>
        <v>13738</v>
      </c>
      <c r="AG20" s="247">
        <v>12</v>
      </c>
      <c r="AH20" s="247">
        <f t="shared" si="8"/>
        <v>164856</v>
      </c>
      <c r="AI20" s="247">
        <f t="shared" si="9"/>
        <v>16485.600000000002</v>
      </c>
      <c r="AJ20" s="247">
        <f t="shared" si="10"/>
        <v>2819.0376000000001</v>
      </c>
      <c r="AK20" s="247">
        <f t="shared" si="11"/>
        <v>4945.6799999999994</v>
      </c>
      <c r="AL20" s="267">
        <f t="shared" si="12"/>
        <v>3297.12</v>
      </c>
      <c r="AM20" s="272">
        <f t="shared" si="13"/>
        <v>192403.4376</v>
      </c>
    </row>
    <row r="21" spans="2:39" ht="33.75" customHeight="1">
      <c r="B21" s="248" t="str">
        <f>'ESTRUCTURA DE CARGOS'!B22</f>
        <v>Profesional IX</v>
      </c>
      <c r="C21" s="249" t="str">
        <f>'ESTRUCTURA DE CARGOS'!C22</f>
        <v>Profesional Presupuesto Contable</v>
      </c>
      <c r="D21" s="250">
        <v>2024</v>
      </c>
      <c r="E21" s="251" t="s">
        <v>253</v>
      </c>
      <c r="F21" s="273">
        <f>'ESTRUCTURA DE CARGOS'!G22</f>
        <v>9282</v>
      </c>
      <c r="G21" s="266">
        <v>30</v>
      </c>
      <c r="H21" s="252">
        <v>30</v>
      </c>
      <c r="I21" s="252">
        <v>30</v>
      </c>
      <c r="J21" s="252">
        <v>30</v>
      </c>
      <c r="K21" s="252">
        <v>30</v>
      </c>
      <c r="L21" s="252">
        <v>30</v>
      </c>
      <c r="M21" s="252">
        <v>30</v>
      </c>
      <c r="N21" s="252">
        <v>30</v>
      </c>
      <c r="O21" s="252">
        <v>30</v>
      </c>
      <c r="P21" s="252">
        <v>30</v>
      </c>
      <c r="Q21" s="252">
        <v>30</v>
      </c>
      <c r="R21" s="252">
        <v>30</v>
      </c>
      <c r="S21" s="252">
        <f t="shared" si="0"/>
        <v>360</v>
      </c>
      <c r="T21" s="252">
        <f t="shared" si="1"/>
        <v>12</v>
      </c>
      <c r="U21" s="252">
        <f t="shared" si="2"/>
        <v>111384</v>
      </c>
      <c r="V21" s="252">
        <f t="shared" si="3"/>
        <v>11138.400000000001</v>
      </c>
      <c r="W21" s="252">
        <f t="shared" si="4"/>
        <v>1904.6664000000001</v>
      </c>
      <c r="X21" s="252">
        <f t="shared" si="5"/>
        <v>3341.52</v>
      </c>
      <c r="Y21" s="268">
        <f t="shared" si="6"/>
        <v>2227.6799999999998</v>
      </c>
      <c r="Z21" s="273">
        <f t="shared" si="7"/>
        <v>129996.26639999999</v>
      </c>
      <c r="AB21" s="248" t="str">
        <f>'[1]PLANILLA SALARIAL '!B19</f>
        <v>Profesional IX</v>
      </c>
      <c r="AC21" s="249" t="str">
        <f>'[1]PLANILLA SALARIAL '!C19</f>
        <v>Profesional Presupuesto Contable</v>
      </c>
      <c r="AD21" s="14">
        <f>'[1]PLANILLA SALARIAL '!E19</f>
        <v>2023</v>
      </c>
      <c r="AE21" s="15" t="str">
        <f>'[1]PLANILLA SALARIAL '!F19</f>
        <v xml:space="preserve">OPERATIVO </v>
      </c>
      <c r="AF21" s="282">
        <f>'[1]PLANILLA SALARIAL '!G19</f>
        <v>9282</v>
      </c>
      <c r="AG21" s="247">
        <v>11</v>
      </c>
      <c r="AH21" s="247">
        <f t="shared" si="8"/>
        <v>102102</v>
      </c>
      <c r="AI21" s="247">
        <f t="shared" si="9"/>
        <v>10210.200000000001</v>
      </c>
      <c r="AJ21" s="247">
        <f t="shared" si="10"/>
        <v>1745.9442000000001</v>
      </c>
      <c r="AK21" s="247">
        <f t="shared" si="11"/>
        <v>3063.06</v>
      </c>
      <c r="AL21" s="267">
        <f t="shared" si="12"/>
        <v>2042.04</v>
      </c>
      <c r="AM21" s="272">
        <f t="shared" si="13"/>
        <v>119163.24419999999</v>
      </c>
    </row>
    <row r="22" spans="2:39" ht="45" customHeight="1">
      <c r="B22" s="258" t="str">
        <f>'ESTRUCTURA DE CARGOS'!B23</f>
        <v>Tecnico VI</v>
      </c>
      <c r="C22" s="259" t="str">
        <f>'ESTRUCTURA DE CARGOS'!C23</f>
        <v>Profesional Administrativo y Recursos Humanos</v>
      </c>
      <c r="D22" s="260">
        <v>2024</v>
      </c>
      <c r="E22" s="261" t="s">
        <v>253</v>
      </c>
      <c r="F22" s="274">
        <f>'ESTRUCTURA DE CARGOS'!G23</f>
        <v>7204</v>
      </c>
      <c r="G22" s="269">
        <v>30</v>
      </c>
      <c r="H22" s="262">
        <v>30</v>
      </c>
      <c r="I22" s="262">
        <v>30</v>
      </c>
      <c r="J22" s="262">
        <v>30</v>
      </c>
      <c r="K22" s="262">
        <v>30</v>
      </c>
      <c r="L22" s="262">
        <v>30</v>
      </c>
      <c r="M22" s="262">
        <v>30</v>
      </c>
      <c r="N22" s="262">
        <v>30</v>
      </c>
      <c r="O22" s="262">
        <v>30</v>
      </c>
      <c r="P22" s="262">
        <v>30</v>
      </c>
      <c r="Q22" s="262">
        <v>30</v>
      </c>
      <c r="R22" s="262">
        <v>30</v>
      </c>
      <c r="S22" s="262">
        <f t="shared" si="0"/>
        <v>360</v>
      </c>
      <c r="T22" s="262">
        <f t="shared" si="1"/>
        <v>12</v>
      </c>
      <c r="U22" s="262">
        <f t="shared" si="2"/>
        <v>86448</v>
      </c>
      <c r="V22" s="262">
        <f t="shared" si="3"/>
        <v>8644.8000000000011</v>
      </c>
      <c r="W22" s="262">
        <f t="shared" si="4"/>
        <v>1478.2608</v>
      </c>
      <c r="X22" s="262">
        <f t="shared" si="5"/>
        <v>2593.44</v>
      </c>
      <c r="Y22" s="270">
        <f t="shared" si="6"/>
        <v>1728.96</v>
      </c>
      <c r="Z22" s="274">
        <f t="shared" si="7"/>
        <v>100893.46080000002</v>
      </c>
      <c r="AA22" s="263"/>
      <c r="AB22" s="258" t="str">
        <f>'[1]PLANILLA SALARIAL '!B20</f>
        <v>Tecnico IV</v>
      </c>
      <c r="AC22" s="259" t="str">
        <f>'[1]PLANILLA SALARIAL '!C20</f>
        <v>Profesional Administrativo y Recursos Humanos</v>
      </c>
      <c r="AD22" s="224">
        <f>'[1]PLANILLA SALARIAL '!E20</f>
        <v>2023</v>
      </c>
      <c r="AE22" s="225" t="str">
        <f>'[1]PLANILLA SALARIAL '!F20</f>
        <v xml:space="preserve">OPERATIVO </v>
      </c>
      <c r="AF22" s="283">
        <f>'[1]PLANILLA SALARIAL '!G20</f>
        <v>8689</v>
      </c>
      <c r="AG22" s="264">
        <v>12</v>
      </c>
      <c r="AH22" s="264">
        <f t="shared" si="8"/>
        <v>104268</v>
      </c>
      <c r="AI22" s="264">
        <f t="shared" si="9"/>
        <v>10426.800000000001</v>
      </c>
      <c r="AJ22" s="264">
        <f t="shared" si="10"/>
        <v>1782.9828</v>
      </c>
      <c r="AK22" s="264">
        <f t="shared" si="11"/>
        <v>3128.04</v>
      </c>
      <c r="AL22" s="284">
        <f t="shared" si="12"/>
        <v>2085.36</v>
      </c>
      <c r="AM22" s="285">
        <f t="shared" si="13"/>
        <v>121691.1828</v>
      </c>
    </row>
    <row r="23" spans="2:39" ht="45" customHeight="1">
      <c r="B23" s="248" t="str">
        <f>'ESTRUCTURA DE CARGOS'!B24</f>
        <v>Tecnico VI</v>
      </c>
      <c r="C23" s="249" t="str">
        <f>'ESTRUCTURA DE CARGOS'!C24</f>
        <v>Tecnico en Sistemas y Soporte Tecnico</v>
      </c>
      <c r="D23" s="250">
        <v>2024</v>
      </c>
      <c r="E23" s="251" t="s">
        <v>253</v>
      </c>
      <c r="F23" s="273">
        <f>'ESTRUCTURA DE CARGOS'!G24</f>
        <v>7204</v>
      </c>
      <c r="G23" s="266">
        <v>30</v>
      </c>
      <c r="H23" s="252">
        <v>30</v>
      </c>
      <c r="I23" s="252">
        <v>30</v>
      </c>
      <c r="J23" s="252">
        <v>30</v>
      </c>
      <c r="K23" s="252">
        <v>30</v>
      </c>
      <c r="L23" s="252">
        <v>30</v>
      </c>
      <c r="M23" s="252">
        <v>30</v>
      </c>
      <c r="N23" s="252">
        <v>30</v>
      </c>
      <c r="O23" s="252">
        <v>30</v>
      </c>
      <c r="P23" s="252">
        <v>30</v>
      </c>
      <c r="Q23" s="252">
        <v>30</v>
      </c>
      <c r="R23" s="252">
        <v>30</v>
      </c>
      <c r="S23" s="252">
        <f t="shared" si="0"/>
        <v>360</v>
      </c>
      <c r="T23" s="252">
        <f t="shared" si="1"/>
        <v>12</v>
      </c>
      <c r="U23" s="252">
        <f t="shared" si="2"/>
        <v>86448</v>
      </c>
      <c r="V23" s="252">
        <f t="shared" si="3"/>
        <v>8644.8000000000011</v>
      </c>
      <c r="W23" s="252">
        <f t="shared" si="4"/>
        <v>1478.2608</v>
      </c>
      <c r="X23" s="252">
        <f t="shared" si="5"/>
        <v>2593.44</v>
      </c>
      <c r="Y23" s="268">
        <f t="shared" si="6"/>
        <v>1728.96</v>
      </c>
      <c r="Z23" s="273">
        <f t="shared" si="7"/>
        <v>100893.46080000002</v>
      </c>
      <c r="AB23" s="248" t="str">
        <f>'[1]PLANILLA SALARIAL '!B21</f>
        <v>Tecnico VI</v>
      </c>
      <c r="AC23" s="249" t="str">
        <f>'[1]PLANILLA SALARIAL '!C21</f>
        <v>Tecnico en Sistemas y Soporte Tecnico</v>
      </c>
      <c r="AD23" s="14">
        <f>'[1]PLANILLA SALARIAL '!E21</f>
        <v>2023</v>
      </c>
      <c r="AE23" s="15" t="str">
        <f>'[1]PLANILLA SALARIAL '!F21</f>
        <v xml:space="preserve">OPERATIVO </v>
      </c>
      <c r="AF23" s="282">
        <f>'[1]PLANILLA SALARIAL '!G21</f>
        <v>6906</v>
      </c>
      <c r="AG23" s="247">
        <v>12</v>
      </c>
      <c r="AH23" s="247">
        <f t="shared" si="8"/>
        <v>82872</v>
      </c>
      <c r="AI23" s="247">
        <f t="shared" si="9"/>
        <v>8287.2000000000007</v>
      </c>
      <c r="AJ23" s="247">
        <f t="shared" si="10"/>
        <v>1417.1112000000001</v>
      </c>
      <c r="AK23" s="247">
        <f t="shared" si="11"/>
        <v>2486.16</v>
      </c>
      <c r="AL23" s="267">
        <f t="shared" si="12"/>
        <v>1657.44</v>
      </c>
      <c r="AM23" s="272">
        <f t="shared" si="13"/>
        <v>96719.911200000002</v>
      </c>
    </row>
    <row r="24" spans="2:39" ht="45" customHeight="1">
      <c r="B24" s="248" t="str">
        <f>'ESTRUCTURA DE CARGOS'!B25</f>
        <v>Administrativo I</v>
      </c>
      <c r="C24" s="249" t="str">
        <f>'ESTRUCTURA DE CARGOS'!C25</f>
        <v>Tecnico de Almacenes, Activos Fijos y Contrataciones</v>
      </c>
      <c r="D24" s="250">
        <v>2024</v>
      </c>
      <c r="E24" s="251" t="s">
        <v>253</v>
      </c>
      <c r="F24" s="273">
        <f>'ESTRUCTURA DE CARGOS'!G25</f>
        <v>5971</v>
      </c>
      <c r="G24" s="266">
        <v>30</v>
      </c>
      <c r="H24" s="252">
        <v>30</v>
      </c>
      <c r="I24" s="252">
        <v>30</v>
      </c>
      <c r="J24" s="252">
        <v>30</v>
      </c>
      <c r="K24" s="252">
        <v>30</v>
      </c>
      <c r="L24" s="252">
        <v>30</v>
      </c>
      <c r="M24" s="252">
        <v>30</v>
      </c>
      <c r="N24" s="252">
        <v>30</v>
      </c>
      <c r="O24" s="252">
        <v>30</v>
      </c>
      <c r="P24" s="252">
        <v>30</v>
      </c>
      <c r="Q24" s="252">
        <v>30</v>
      </c>
      <c r="R24" s="252">
        <v>30</v>
      </c>
      <c r="S24" s="252">
        <f t="shared" si="0"/>
        <v>360</v>
      </c>
      <c r="T24" s="252">
        <f t="shared" si="1"/>
        <v>12</v>
      </c>
      <c r="U24" s="252">
        <f t="shared" si="2"/>
        <v>71652</v>
      </c>
      <c r="V24" s="252">
        <f t="shared" si="3"/>
        <v>7165.2000000000007</v>
      </c>
      <c r="W24" s="252">
        <f t="shared" si="4"/>
        <v>1225.2492</v>
      </c>
      <c r="X24" s="252">
        <f t="shared" si="5"/>
        <v>2149.56</v>
      </c>
      <c r="Y24" s="268">
        <f t="shared" si="6"/>
        <v>1433.04</v>
      </c>
      <c r="Z24" s="273">
        <f t="shared" si="7"/>
        <v>83625.049199999994</v>
      </c>
      <c r="AB24" s="248" t="str">
        <f>'[1]PLANILLA SALARIAL '!B22</f>
        <v>Administrativo I</v>
      </c>
      <c r="AC24" s="249" t="str">
        <f>'[1]PLANILLA SALARIAL '!C22</f>
        <v>Tecnico de Almacenes, Activos Fijos y Contrataciones</v>
      </c>
      <c r="AD24" s="14">
        <f>'[1]PLANILLA SALARIAL '!E22</f>
        <v>2023</v>
      </c>
      <c r="AE24" s="15" t="str">
        <f>'[1]PLANILLA SALARIAL '!F22</f>
        <v xml:space="preserve">OPERATIVO </v>
      </c>
      <c r="AF24" s="282">
        <f>'[1]PLANILLA SALARIAL '!G22</f>
        <v>5971</v>
      </c>
      <c r="AG24" s="247">
        <v>11</v>
      </c>
      <c r="AH24" s="247">
        <f t="shared" si="8"/>
        <v>65681</v>
      </c>
      <c r="AI24" s="247">
        <f t="shared" si="9"/>
        <v>6568.1</v>
      </c>
      <c r="AJ24" s="247">
        <f t="shared" si="10"/>
        <v>1123.1451</v>
      </c>
      <c r="AK24" s="247">
        <f t="shared" si="11"/>
        <v>1970.4299999999998</v>
      </c>
      <c r="AL24" s="267">
        <f t="shared" si="12"/>
        <v>1313.6200000000001</v>
      </c>
      <c r="AM24" s="272">
        <f t="shared" si="13"/>
        <v>76656.295099999988</v>
      </c>
    </row>
    <row r="25" spans="2:39" ht="22.5" customHeight="1">
      <c r="B25" s="248" t="str">
        <f>'ESTRUCTURA DE CARGOS'!B26</f>
        <v>Auxiliar II</v>
      </c>
      <c r="C25" s="249" t="str">
        <f>'ESTRUCTURA DE CARGOS'!C26</f>
        <v xml:space="preserve">Auxiliar de Limpieza </v>
      </c>
      <c r="D25" s="250">
        <v>2024</v>
      </c>
      <c r="E25" s="251" t="s">
        <v>253</v>
      </c>
      <c r="F25" s="273">
        <f>'ESTRUCTURA DE CARGOS'!G26</f>
        <v>3340</v>
      </c>
      <c r="G25" s="266">
        <v>30</v>
      </c>
      <c r="H25" s="252">
        <v>30</v>
      </c>
      <c r="I25" s="252">
        <v>30</v>
      </c>
      <c r="J25" s="252">
        <v>30</v>
      </c>
      <c r="K25" s="252">
        <v>30</v>
      </c>
      <c r="L25" s="252">
        <v>30</v>
      </c>
      <c r="M25" s="252">
        <v>30</v>
      </c>
      <c r="N25" s="252">
        <v>30</v>
      </c>
      <c r="O25" s="252">
        <v>30</v>
      </c>
      <c r="P25" s="252">
        <v>30</v>
      </c>
      <c r="Q25" s="252">
        <v>30</v>
      </c>
      <c r="R25" s="252">
        <v>30</v>
      </c>
      <c r="S25" s="252">
        <f t="shared" si="0"/>
        <v>360</v>
      </c>
      <c r="T25" s="252">
        <f t="shared" si="1"/>
        <v>12</v>
      </c>
      <c r="U25" s="252">
        <f t="shared" si="2"/>
        <v>40080</v>
      </c>
      <c r="V25" s="252">
        <f t="shared" si="3"/>
        <v>4008</v>
      </c>
      <c r="W25" s="252">
        <f t="shared" si="4"/>
        <v>685.36800000000005</v>
      </c>
      <c r="X25" s="252">
        <f t="shared" si="5"/>
        <v>1202.3999999999999</v>
      </c>
      <c r="Y25" s="268">
        <f t="shared" si="6"/>
        <v>801.6</v>
      </c>
      <c r="Z25" s="273">
        <f t="shared" si="7"/>
        <v>46777.368000000002</v>
      </c>
      <c r="AB25" s="248" t="str">
        <f>'[1]PLANILLA SALARIAL '!B23</f>
        <v>Auxiliar II</v>
      </c>
      <c r="AC25" s="249" t="str">
        <f>'[1]PLANILLA SALARIAL '!C23</f>
        <v xml:space="preserve">Auxiliar de Limpieza </v>
      </c>
      <c r="AD25" s="14">
        <f>'[1]PLANILLA SALARIAL '!E23</f>
        <v>2023</v>
      </c>
      <c r="AE25" s="15" t="str">
        <f>'[1]PLANILLA SALARIAL '!F23</f>
        <v xml:space="preserve">OPERATIVO </v>
      </c>
      <c r="AF25" s="282">
        <f>'[1]PLANILLA SALARIAL '!G23</f>
        <v>3340</v>
      </c>
      <c r="AG25" s="247">
        <v>11</v>
      </c>
      <c r="AH25" s="247">
        <f t="shared" si="8"/>
        <v>36740</v>
      </c>
      <c r="AI25" s="247">
        <f t="shared" si="9"/>
        <v>3674</v>
      </c>
      <c r="AJ25" s="247">
        <f t="shared" si="10"/>
        <v>628.25400000000002</v>
      </c>
      <c r="AK25" s="247">
        <f t="shared" si="11"/>
        <v>1102.2</v>
      </c>
      <c r="AL25" s="267">
        <f t="shared" si="12"/>
        <v>734.80000000000007</v>
      </c>
      <c r="AM25" s="272">
        <f t="shared" si="13"/>
        <v>42879.254000000001</v>
      </c>
    </row>
    <row r="26" spans="2:39" ht="33.75" customHeight="1">
      <c r="B26" s="248" t="str">
        <f>'ESTRUCTURA DE CARGOS'!B28</f>
        <v>Responsable IV</v>
      </c>
      <c r="C26" s="249" t="str">
        <f>'ESTRUCTURA DE CARGOS'!C28</f>
        <v xml:space="preserve">Director Integral de Prestamos </v>
      </c>
      <c r="D26" s="250">
        <v>2024</v>
      </c>
      <c r="E26" s="251" t="s">
        <v>253</v>
      </c>
      <c r="F26" s="273">
        <f>'ESTRUCTURA DE CARGOS'!G28</f>
        <v>13738</v>
      </c>
      <c r="G26" s="266">
        <v>30</v>
      </c>
      <c r="H26" s="252">
        <v>30</v>
      </c>
      <c r="I26" s="252">
        <v>30</v>
      </c>
      <c r="J26" s="252">
        <v>30</v>
      </c>
      <c r="K26" s="252">
        <v>30</v>
      </c>
      <c r="L26" s="252">
        <v>30</v>
      </c>
      <c r="M26" s="252">
        <v>30</v>
      </c>
      <c r="N26" s="252">
        <v>30</v>
      </c>
      <c r="O26" s="252">
        <v>30</v>
      </c>
      <c r="P26" s="252">
        <v>30</v>
      </c>
      <c r="Q26" s="252">
        <v>30</v>
      </c>
      <c r="R26" s="252">
        <v>30</v>
      </c>
      <c r="S26" s="252">
        <f t="shared" si="0"/>
        <v>360</v>
      </c>
      <c r="T26" s="252">
        <f t="shared" si="1"/>
        <v>12</v>
      </c>
      <c r="U26" s="252">
        <f t="shared" si="2"/>
        <v>164856</v>
      </c>
      <c r="V26" s="252">
        <f t="shared" si="3"/>
        <v>16485.600000000002</v>
      </c>
      <c r="W26" s="252">
        <f t="shared" si="4"/>
        <v>2819.0376000000001</v>
      </c>
      <c r="X26" s="252">
        <f t="shared" si="5"/>
        <v>4945.6799999999994</v>
      </c>
      <c r="Y26" s="268">
        <f t="shared" si="6"/>
        <v>3297.12</v>
      </c>
      <c r="Z26" s="273">
        <f t="shared" si="7"/>
        <v>192403.4376</v>
      </c>
      <c r="AB26" s="248" t="str">
        <f>'[1]PLANILLA SALARIAL '!B24</f>
        <v>Responsable IV</v>
      </c>
      <c r="AC26" s="249" t="str">
        <f>'[1]PLANILLA SALARIAL '!C24</f>
        <v xml:space="preserve">Director Integral de Prestamos </v>
      </c>
      <c r="AD26" s="14">
        <f>'[1]PLANILLA SALARIAL '!E24</f>
        <v>2023</v>
      </c>
      <c r="AE26" s="15" t="str">
        <f>'[1]PLANILLA SALARIAL '!F24</f>
        <v xml:space="preserve">OPERATIVO </v>
      </c>
      <c r="AF26" s="282">
        <f>'[1]PLANILLA SALARIAL '!G24</f>
        <v>13738</v>
      </c>
      <c r="AG26" s="247">
        <v>12</v>
      </c>
      <c r="AH26" s="247">
        <f t="shared" si="8"/>
        <v>164856</v>
      </c>
      <c r="AI26" s="247">
        <f t="shared" si="9"/>
        <v>16485.600000000002</v>
      </c>
      <c r="AJ26" s="247">
        <f t="shared" si="10"/>
        <v>2819.0376000000001</v>
      </c>
      <c r="AK26" s="247">
        <f t="shared" si="11"/>
        <v>4945.6799999999994</v>
      </c>
      <c r="AL26" s="267">
        <f t="shared" si="12"/>
        <v>3297.12</v>
      </c>
      <c r="AM26" s="272">
        <f t="shared" si="13"/>
        <v>192403.4376</v>
      </c>
    </row>
    <row r="27" spans="2:39" ht="45" customHeight="1">
      <c r="B27" s="248" t="str">
        <f>'ESTRUCTURA DE CARGOS'!B29</f>
        <v>Profesional VII</v>
      </c>
      <c r="C27" s="249" t="str">
        <f>'ESTRUCTURA DE CARGOS'!C29</f>
        <v xml:space="preserve">Responsable de la Unidad Tecnica de Préstamos </v>
      </c>
      <c r="D27" s="250">
        <v>2024</v>
      </c>
      <c r="E27" s="251" t="s">
        <v>253</v>
      </c>
      <c r="F27" s="273">
        <f>'ESTRUCTURA DE CARGOS'!G29</f>
        <v>10693</v>
      </c>
      <c r="G27" s="266">
        <v>30</v>
      </c>
      <c r="H27" s="252">
        <v>30</v>
      </c>
      <c r="I27" s="252">
        <v>30</v>
      </c>
      <c r="J27" s="252">
        <v>30</v>
      </c>
      <c r="K27" s="252">
        <v>30</v>
      </c>
      <c r="L27" s="252">
        <v>30</v>
      </c>
      <c r="M27" s="252">
        <v>30</v>
      </c>
      <c r="N27" s="252">
        <v>30</v>
      </c>
      <c r="O27" s="252">
        <v>30</v>
      </c>
      <c r="P27" s="252">
        <v>30</v>
      </c>
      <c r="Q27" s="252">
        <v>30</v>
      </c>
      <c r="R27" s="252">
        <v>30</v>
      </c>
      <c r="S27" s="252">
        <f t="shared" si="0"/>
        <v>360</v>
      </c>
      <c r="T27" s="252">
        <f t="shared" si="1"/>
        <v>12</v>
      </c>
      <c r="U27" s="252">
        <f t="shared" si="2"/>
        <v>128316</v>
      </c>
      <c r="V27" s="252">
        <f t="shared" si="3"/>
        <v>12831.6</v>
      </c>
      <c r="W27" s="252">
        <f t="shared" si="4"/>
        <v>2194.2036000000003</v>
      </c>
      <c r="X27" s="252">
        <f t="shared" si="5"/>
        <v>3849.48</v>
      </c>
      <c r="Y27" s="268">
        <f t="shared" si="6"/>
        <v>2566.3200000000002</v>
      </c>
      <c r="Z27" s="273">
        <f t="shared" ref="Z27:Z35" si="14">SUM(U27:Y27)</f>
        <v>149757.60360000003</v>
      </c>
      <c r="AB27" s="248" t="str">
        <f>'[1]PLANILLA SALARIAL '!B25</f>
        <v>Profesional VII</v>
      </c>
      <c r="AC27" s="249" t="str">
        <f>'[1]PLANILLA SALARIAL '!C25</f>
        <v xml:space="preserve">Responsable de la Unidad Tecnica de Préstamos </v>
      </c>
      <c r="AD27" s="14">
        <f>'[1]PLANILLA SALARIAL '!E25</f>
        <v>2023</v>
      </c>
      <c r="AE27" s="15" t="str">
        <f>'[1]PLANILLA SALARIAL '!F25</f>
        <v xml:space="preserve">OPERATIVO </v>
      </c>
      <c r="AF27" s="282">
        <f>'[1]PLANILLA SALARIAL '!G25</f>
        <v>10693</v>
      </c>
      <c r="AG27" s="247">
        <v>11</v>
      </c>
      <c r="AH27" s="247">
        <f t="shared" si="8"/>
        <v>117623</v>
      </c>
      <c r="AI27" s="247">
        <f t="shared" si="9"/>
        <v>11762.300000000001</v>
      </c>
      <c r="AJ27" s="247">
        <f t="shared" si="10"/>
        <v>2011.3533</v>
      </c>
      <c r="AK27" s="247">
        <f t="shared" si="11"/>
        <v>3528.69</v>
      </c>
      <c r="AL27" s="267">
        <f t="shared" si="12"/>
        <v>2352.46</v>
      </c>
      <c r="AM27" s="272">
        <f t="shared" si="13"/>
        <v>137277.8033</v>
      </c>
    </row>
    <row r="28" spans="2:39" ht="45" customHeight="1">
      <c r="B28" s="248" t="str">
        <f>'ESTRUCTURA DE CARGOS'!B30</f>
        <v>Profesional VII</v>
      </c>
      <c r="C28" s="249" t="str">
        <f>'ESTRUCTURA DE CARGOS'!C30</f>
        <v>Responsable de la Unidad Tecnica de Proyectos</v>
      </c>
      <c r="D28" s="250">
        <v>2024</v>
      </c>
      <c r="E28" s="251" t="s">
        <v>253</v>
      </c>
      <c r="F28" s="273">
        <f>'ESTRUCTURA DE CARGOS'!G30</f>
        <v>10693</v>
      </c>
      <c r="G28" s="266">
        <v>30</v>
      </c>
      <c r="H28" s="252">
        <v>30</v>
      </c>
      <c r="I28" s="252">
        <v>30</v>
      </c>
      <c r="J28" s="252">
        <v>30</v>
      </c>
      <c r="K28" s="252">
        <v>30</v>
      </c>
      <c r="L28" s="252">
        <v>30</v>
      </c>
      <c r="M28" s="252">
        <v>30</v>
      </c>
      <c r="N28" s="252">
        <v>30</v>
      </c>
      <c r="O28" s="252">
        <v>30</v>
      </c>
      <c r="P28" s="252">
        <v>30</v>
      </c>
      <c r="Q28" s="252">
        <v>30</v>
      </c>
      <c r="R28" s="252">
        <v>30</v>
      </c>
      <c r="S28" s="252">
        <f t="shared" si="0"/>
        <v>360</v>
      </c>
      <c r="T28" s="252">
        <f t="shared" si="1"/>
        <v>12</v>
      </c>
      <c r="U28" s="252">
        <f t="shared" si="2"/>
        <v>128316</v>
      </c>
      <c r="V28" s="252">
        <f t="shared" si="3"/>
        <v>12831.6</v>
      </c>
      <c r="W28" s="252">
        <f t="shared" si="4"/>
        <v>2194.2036000000003</v>
      </c>
      <c r="X28" s="252">
        <f t="shared" si="5"/>
        <v>3849.48</v>
      </c>
      <c r="Y28" s="268">
        <f t="shared" si="6"/>
        <v>2566.3200000000002</v>
      </c>
      <c r="Z28" s="273">
        <f t="shared" si="14"/>
        <v>149757.60360000003</v>
      </c>
      <c r="AB28" s="248" t="str">
        <f>'[1]PLANILLA SALARIAL '!B26</f>
        <v>Profesional VII</v>
      </c>
      <c r="AC28" s="249" t="str">
        <f>'[1]PLANILLA SALARIAL '!C26</f>
        <v>Responsable de la Unidad Tecnica de Proyectos</v>
      </c>
      <c r="AD28" s="14">
        <f>'[1]PLANILLA SALARIAL '!E26</f>
        <v>2023</v>
      </c>
      <c r="AE28" s="15" t="str">
        <f>'[1]PLANILLA SALARIAL '!F26</f>
        <v xml:space="preserve">OPERATIVO </v>
      </c>
      <c r="AF28" s="282">
        <f>'[1]PLANILLA SALARIAL '!G26</f>
        <v>10693</v>
      </c>
      <c r="AG28" s="247">
        <v>11</v>
      </c>
      <c r="AH28" s="247">
        <f t="shared" si="8"/>
        <v>117623</v>
      </c>
      <c r="AI28" s="247">
        <f t="shared" si="9"/>
        <v>11762.300000000001</v>
      </c>
      <c r="AJ28" s="247">
        <f t="shared" si="10"/>
        <v>2011.3533</v>
      </c>
      <c r="AK28" s="247">
        <f t="shared" si="11"/>
        <v>3528.69</v>
      </c>
      <c r="AL28" s="267">
        <f t="shared" si="12"/>
        <v>2352.46</v>
      </c>
      <c r="AM28" s="272">
        <f t="shared" si="13"/>
        <v>137277.8033</v>
      </c>
    </row>
    <row r="29" spans="2:39" ht="33.75" customHeight="1">
      <c r="B29" s="248" t="str">
        <f>'ESTRUCTURA DE CARGOS'!B31</f>
        <v>Profesional IX</v>
      </c>
      <c r="C29" s="249" t="str">
        <f>'ESTRUCTURA DE CARGOS'!C31</f>
        <v>Profesional Ingeniero Geólogo</v>
      </c>
      <c r="D29" s="250">
        <v>2024</v>
      </c>
      <c r="E29" s="251" t="s">
        <v>253</v>
      </c>
      <c r="F29" s="273">
        <f>'ESTRUCTURA DE CARGOS'!G31</f>
        <v>9282</v>
      </c>
      <c r="G29" s="266">
        <v>30</v>
      </c>
      <c r="H29" s="252">
        <v>30</v>
      </c>
      <c r="I29" s="252">
        <v>30</v>
      </c>
      <c r="J29" s="252">
        <v>30</v>
      </c>
      <c r="K29" s="252">
        <v>30</v>
      </c>
      <c r="L29" s="252">
        <v>30</v>
      </c>
      <c r="M29" s="252">
        <v>30</v>
      </c>
      <c r="N29" s="252">
        <v>30</v>
      </c>
      <c r="O29" s="252">
        <v>30</v>
      </c>
      <c r="P29" s="252">
        <v>30</v>
      </c>
      <c r="Q29" s="252">
        <v>30</v>
      </c>
      <c r="R29" s="252">
        <v>30</v>
      </c>
      <c r="S29" s="252">
        <f t="shared" si="0"/>
        <v>360</v>
      </c>
      <c r="T29" s="252">
        <f t="shared" si="1"/>
        <v>12</v>
      </c>
      <c r="U29" s="252">
        <f>ROUND(PRODUCT(F29*T29),0)</f>
        <v>111384</v>
      </c>
      <c r="V29" s="252">
        <f t="shared" si="3"/>
        <v>11138.400000000001</v>
      </c>
      <c r="W29" s="252">
        <f t="shared" si="4"/>
        <v>1904.6664000000001</v>
      </c>
      <c r="X29" s="252">
        <f t="shared" si="5"/>
        <v>3341.52</v>
      </c>
      <c r="Y29" s="268">
        <f t="shared" si="6"/>
        <v>2227.6799999999998</v>
      </c>
      <c r="Z29" s="273">
        <f t="shared" si="14"/>
        <v>129996.26639999999</v>
      </c>
      <c r="AB29" s="248" t="str">
        <f>'[1]PLANILLA SALARIAL '!B27</f>
        <v>Profesional IX</v>
      </c>
      <c r="AC29" s="249" t="str">
        <f>'[1]PLANILLA SALARIAL '!C27</f>
        <v>Profesional Ingeniero Geólogo</v>
      </c>
      <c r="AD29" s="14">
        <f>'[1]PLANILLA SALARIAL '!E27</f>
        <v>2023</v>
      </c>
      <c r="AE29" s="15" t="str">
        <f>'[1]PLANILLA SALARIAL '!F27</f>
        <v xml:space="preserve">OPERATIVO </v>
      </c>
      <c r="AF29" s="282">
        <f>'[1]PLANILLA SALARIAL '!G27</f>
        <v>9282</v>
      </c>
      <c r="AG29" s="247">
        <v>11</v>
      </c>
      <c r="AH29" s="247">
        <f t="shared" si="8"/>
        <v>102102</v>
      </c>
      <c r="AI29" s="247">
        <f t="shared" si="9"/>
        <v>10210.200000000001</v>
      </c>
      <c r="AJ29" s="247">
        <f t="shared" si="10"/>
        <v>1745.9442000000001</v>
      </c>
      <c r="AK29" s="247">
        <f t="shared" si="11"/>
        <v>3063.06</v>
      </c>
      <c r="AL29" s="267">
        <f t="shared" si="12"/>
        <v>2042.04</v>
      </c>
      <c r="AM29" s="272">
        <f t="shared" si="13"/>
        <v>119163.24419999999</v>
      </c>
    </row>
    <row r="30" spans="2:39" ht="33.75" customHeight="1">
      <c r="B30" s="248" t="str">
        <f>'ESTRUCTURA DE CARGOS'!B32</f>
        <v>Profesional IX</v>
      </c>
      <c r="C30" s="249" t="str">
        <f>'ESTRUCTURA DE CARGOS'!C32</f>
        <v xml:space="preserve">Profesional Ingeniero Metalurgista </v>
      </c>
      <c r="D30" s="250">
        <v>2024</v>
      </c>
      <c r="E30" s="251" t="s">
        <v>253</v>
      </c>
      <c r="F30" s="273">
        <f>'ESTRUCTURA DE CARGOS'!G32</f>
        <v>9282</v>
      </c>
      <c r="G30" s="266">
        <v>30</v>
      </c>
      <c r="H30" s="252">
        <v>30</v>
      </c>
      <c r="I30" s="252">
        <v>30</v>
      </c>
      <c r="J30" s="252">
        <v>30</v>
      </c>
      <c r="K30" s="252">
        <v>30</v>
      </c>
      <c r="L30" s="252">
        <v>30</v>
      </c>
      <c r="M30" s="252">
        <v>30</v>
      </c>
      <c r="N30" s="252">
        <v>30</v>
      </c>
      <c r="O30" s="252">
        <v>30</v>
      </c>
      <c r="P30" s="252">
        <v>30</v>
      </c>
      <c r="Q30" s="252">
        <v>30</v>
      </c>
      <c r="R30" s="252">
        <v>30</v>
      </c>
      <c r="S30" s="252">
        <f t="shared" si="0"/>
        <v>360</v>
      </c>
      <c r="T30" s="252">
        <f t="shared" si="1"/>
        <v>12</v>
      </c>
      <c r="U30" s="252">
        <f t="shared" ref="U30:U35" si="15">ROUND(PRODUCT(F30*T30),0)</f>
        <v>111384</v>
      </c>
      <c r="V30" s="252">
        <f t="shared" si="3"/>
        <v>11138.400000000001</v>
      </c>
      <c r="W30" s="252">
        <f t="shared" si="4"/>
        <v>1904.6664000000001</v>
      </c>
      <c r="X30" s="252">
        <f t="shared" si="5"/>
        <v>3341.52</v>
      </c>
      <c r="Y30" s="268">
        <f t="shared" si="6"/>
        <v>2227.6799999999998</v>
      </c>
      <c r="Z30" s="273">
        <f t="shared" si="14"/>
        <v>129996.26639999999</v>
      </c>
      <c r="AB30" s="248" t="str">
        <f>'[1]PLANILLA SALARIAL '!B28</f>
        <v>Profesional IX</v>
      </c>
      <c r="AC30" s="249" t="str">
        <f>'[1]PLANILLA SALARIAL '!C28</f>
        <v xml:space="preserve">Profesional Ingeniero Metalurgista </v>
      </c>
      <c r="AD30" s="14">
        <f>'[1]PLANILLA SALARIAL '!E28</f>
        <v>2023</v>
      </c>
      <c r="AE30" s="15" t="str">
        <f>'[1]PLANILLA SALARIAL '!F28</f>
        <v xml:space="preserve">OPERATIVO </v>
      </c>
      <c r="AF30" s="282">
        <f>'[1]PLANILLA SALARIAL '!G28</f>
        <v>9282</v>
      </c>
      <c r="AG30" s="247">
        <v>11</v>
      </c>
      <c r="AH30" s="247">
        <f t="shared" si="8"/>
        <v>102102</v>
      </c>
      <c r="AI30" s="247">
        <f t="shared" si="9"/>
        <v>10210.200000000001</v>
      </c>
      <c r="AJ30" s="247">
        <f t="shared" si="10"/>
        <v>1745.9442000000001</v>
      </c>
      <c r="AK30" s="247">
        <f t="shared" si="11"/>
        <v>3063.06</v>
      </c>
      <c r="AL30" s="267">
        <f t="shared" si="12"/>
        <v>2042.04</v>
      </c>
      <c r="AM30" s="272">
        <f t="shared" si="13"/>
        <v>119163.24419999999</v>
      </c>
    </row>
    <row r="31" spans="2:39" ht="33.75" customHeight="1">
      <c r="B31" s="248" t="str">
        <f>'ESTRUCTURA DE CARGOS'!B33</f>
        <v>Profesional IX</v>
      </c>
      <c r="C31" s="249" t="str">
        <f>'ESTRUCTURA DE CARGOS'!C33</f>
        <v xml:space="preserve">Profesional Ingeniero Minero </v>
      </c>
      <c r="D31" s="250">
        <v>2024</v>
      </c>
      <c r="E31" s="251" t="s">
        <v>253</v>
      </c>
      <c r="F31" s="273">
        <f>'ESTRUCTURA DE CARGOS'!G33</f>
        <v>9282</v>
      </c>
      <c r="G31" s="266">
        <v>30</v>
      </c>
      <c r="H31" s="252">
        <v>30</v>
      </c>
      <c r="I31" s="252">
        <v>30</v>
      </c>
      <c r="J31" s="252">
        <v>30</v>
      </c>
      <c r="K31" s="252">
        <v>30</v>
      </c>
      <c r="L31" s="252">
        <v>30</v>
      </c>
      <c r="M31" s="252">
        <v>30</v>
      </c>
      <c r="N31" s="252">
        <v>30</v>
      </c>
      <c r="O31" s="252">
        <v>30</v>
      </c>
      <c r="P31" s="252">
        <v>30</v>
      </c>
      <c r="Q31" s="252">
        <v>30</v>
      </c>
      <c r="R31" s="252">
        <v>30</v>
      </c>
      <c r="S31" s="252">
        <f t="shared" si="0"/>
        <v>360</v>
      </c>
      <c r="T31" s="252">
        <f t="shared" si="1"/>
        <v>12</v>
      </c>
      <c r="U31" s="252">
        <f t="shared" si="15"/>
        <v>111384</v>
      </c>
      <c r="V31" s="252">
        <f t="shared" si="3"/>
        <v>11138.400000000001</v>
      </c>
      <c r="W31" s="252">
        <f t="shared" si="4"/>
        <v>1904.6664000000001</v>
      </c>
      <c r="X31" s="252">
        <f t="shared" si="5"/>
        <v>3341.52</v>
      </c>
      <c r="Y31" s="268">
        <f t="shared" si="6"/>
        <v>2227.6799999999998</v>
      </c>
      <c r="Z31" s="273">
        <f t="shared" si="14"/>
        <v>129996.26639999999</v>
      </c>
      <c r="AB31" s="248" t="str">
        <f>'[1]PLANILLA SALARIAL '!B29</f>
        <v>Profesional IX</v>
      </c>
      <c r="AC31" s="249" t="str">
        <f>'[1]PLANILLA SALARIAL '!C29</f>
        <v xml:space="preserve">Profesional Ingeniero Minero </v>
      </c>
      <c r="AD31" s="14">
        <f>'[1]PLANILLA SALARIAL '!E29</f>
        <v>2023</v>
      </c>
      <c r="AE31" s="15" t="str">
        <f>'[1]PLANILLA SALARIAL '!F29</f>
        <v xml:space="preserve">OPERATIVO </v>
      </c>
      <c r="AF31" s="282">
        <f>'[1]PLANILLA SALARIAL '!G29</f>
        <v>9282</v>
      </c>
      <c r="AG31" s="247">
        <v>11</v>
      </c>
      <c r="AH31" s="247">
        <f t="shared" si="8"/>
        <v>102102</v>
      </c>
      <c r="AI31" s="247">
        <f t="shared" si="9"/>
        <v>10210.200000000001</v>
      </c>
      <c r="AJ31" s="247">
        <f t="shared" si="10"/>
        <v>1745.9442000000001</v>
      </c>
      <c r="AK31" s="247">
        <f t="shared" si="11"/>
        <v>3063.06</v>
      </c>
      <c r="AL31" s="267">
        <f t="shared" si="12"/>
        <v>2042.04</v>
      </c>
      <c r="AM31" s="272">
        <f t="shared" si="13"/>
        <v>119163.24419999999</v>
      </c>
    </row>
    <row r="32" spans="2:39" ht="33.75" customHeight="1">
      <c r="B32" s="248" t="str">
        <f>'ESTRUCTURA DE CARGOS'!B34</f>
        <v>Profesional IX</v>
      </c>
      <c r="C32" s="249" t="str">
        <f>'ESTRUCTURA DE CARGOS'!C34</f>
        <v>Profesional en Prestamos y Cobranzas</v>
      </c>
      <c r="D32" s="250">
        <v>2024</v>
      </c>
      <c r="E32" s="251" t="s">
        <v>253</v>
      </c>
      <c r="F32" s="273">
        <f>'ESTRUCTURA DE CARGOS'!G34</f>
        <v>9282</v>
      </c>
      <c r="G32" s="266">
        <v>30</v>
      </c>
      <c r="H32" s="252">
        <v>30</v>
      </c>
      <c r="I32" s="252">
        <v>30</v>
      </c>
      <c r="J32" s="252">
        <v>30</v>
      </c>
      <c r="K32" s="252">
        <v>30</v>
      </c>
      <c r="L32" s="252">
        <v>30</v>
      </c>
      <c r="M32" s="252">
        <v>30</v>
      </c>
      <c r="N32" s="252">
        <v>30</v>
      </c>
      <c r="O32" s="252">
        <v>30</v>
      </c>
      <c r="P32" s="252">
        <v>30</v>
      </c>
      <c r="Q32" s="252">
        <v>30</v>
      </c>
      <c r="R32" s="252">
        <v>30</v>
      </c>
      <c r="S32" s="252">
        <f t="shared" si="0"/>
        <v>360</v>
      </c>
      <c r="T32" s="252">
        <f t="shared" si="1"/>
        <v>12</v>
      </c>
      <c r="U32" s="252">
        <f t="shared" si="15"/>
        <v>111384</v>
      </c>
      <c r="V32" s="252">
        <f t="shared" si="3"/>
        <v>11138.400000000001</v>
      </c>
      <c r="W32" s="252">
        <f t="shared" si="4"/>
        <v>1904.6664000000001</v>
      </c>
      <c r="X32" s="252">
        <f t="shared" si="5"/>
        <v>3341.52</v>
      </c>
      <c r="Y32" s="268">
        <f t="shared" si="6"/>
        <v>2227.6799999999998</v>
      </c>
      <c r="Z32" s="273">
        <f t="shared" si="14"/>
        <v>129996.26639999999</v>
      </c>
      <c r="AB32" s="248" t="str">
        <f>'[1]PLANILLA SALARIAL '!B30</f>
        <v>Profesional IX</v>
      </c>
      <c r="AC32" s="249" t="str">
        <f>'[1]PLANILLA SALARIAL '!C30</f>
        <v>Profesional en Prestamos y Cobranzas</v>
      </c>
      <c r="AD32" s="14">
        <f>'[1]PLANILLA SALARIAL '!E30</f>
        <v>2023</v>
      </c>
      <c r="AE32" s="15" t="str">
        <f>'[1]PLANILLA SALARIAL '!F30</f>
        <v xml:space="preserve">OPERATIVO </v>
      </c>
      <c r="AF32" s="282">
        <f>'[1]PLANILLA SALARIAL '!G30</f>
        <v>9282</v>
      </c>
      <c r="AG32" s="247">
        <v>11</v>
      </c>
      <c r="AH32" s="247">
        <f t="shared" si="8"/>
        <v>102102</v>
      </c>
      <c r="AI32" s="247">
        <f t="shared" si="9"/>
        <v>10210.200000000001</v>
      </c>
      <c r="AJ32" s="247">
        <f t="shared" si="10"/>
        <v>1745.9442000000001</v>
      </c>
      <c r="AK32" s="247">
        <f t="shared" si="11"/>
        <v>3063.06</v>
      </c>
      <c r="AL32" s="267">
        <f t="shared" si="12"/>
        <v>2042.04</v>
      </c>
      <c r="AM32" s="272">
        <f t="shared" si="13"/>
        <v>119163.24419999999</v>
      </c>
    </row>
    <row r="33" spans="2:39" ht="33.75" customHeight="1">
      <c r="B33" s="248" t="str">
        <f>'ESTRUCTURA DE CARGOS'!B35</f>
        <v>Tecnico V</v>
      </c>
      <c r="C33" s="249" t="str">
        <f>'ESTRUCTURA DE CARGOS'!C35</f>
        <v>Tecnico en Prestamos y Cobranzas</v>
      </c>
      <c r="D33" s="250">
        <v>2024</v>
      </c>
      <c r="E33" s="251" t="s">
        <v>253</v>
      </c>
      <c r="F33" s="273">
        <f>'ESTRUCTURA DE CARGOS'!G35</f>
        <v>7722</v>
      </c>
      <c r="G33" s="266">
        <v>30</v>
      </c>
      <c r="H33" s="252">
        <v>30</v>
      </c>
      <c r="I33" s="252">
        <v>30</v>
      </c>
      <c r="J33" s="252">
        <v>30</v>
      </c>
      <c r="K33" s="252">
        <v>30</v>
      </c>
      <c r="L33" s="252">
        <v>30</v>
      </c>
      <c r="M33" s="252">
        <v>30</v>
      </c>
      <c r="N33" s="252">
        <v>30</v>
      </c>
      <c r="O33" s="252">
        <v>30</v>
      </c>
      <c r="P33" s="252">
        <v>30</v>
      </c>
      <c r="Q33" s="252">
        <v>30</v>
      </c>
      <c r="R33" s="252">
        <v>30</v>
      </c>
      <c r="S33" s="252">
        <f t="shared" si="0"/>
        <v>360</v>
      </c>
      <c r="T33" s="252">
        <f t="shared" si="1"/>
        <v>12</v>
      </c>
      <c r="U33" s="252">
        <f t="shared" si="15"/>
        <v>92664</v>
      </c>
      <c r="V33" s="252">
        <f t="shared" si="3"/>
        <v>9266.4</v>
      </c>
      <c r="W33" s="252">
        <f t="shared" si="4"/>
        <v>1584.5544</v>
      </c>
      <c r="X33" s="252">
        <f t="shared" si="5"/>
        <v>2779.92</v>
      </c>
      <c r="Y33" s="268">
        <f t="shared" si="6"/>
        <v>1853.28</v>
      </c>
      <c r="Z33" s="273">
        <f t="shared" si="14"/>
        <v>108148.15439999998</v>
      </c>
      <c r="AB33" s="248" t="str">
        <f>'[1]PLANILLA SALARIAL '!B31</f>
        <v>Tecnico V</v>
      </c>
      <c r="AC33" s="249" t="str">
        <f>'[1]PLANILLA SALARIAL '!C31</f>
        <v>Tecnico en Prestamos y Cobranzas</v>
      </c>
      <c r="AD33" s="14">
        <f>'[1]PLANILLA SALARIAL '!E31</f>
        <v>2023</v>
      </c>
      <c r="AE33" s="15" t="str">
        <f>'[1]PLANILLA SALARIAL '!F31</f>
        <v xml:space="preserve">OPERATIVO </v>
      </c>
      <c r="AF33" s="282">
        <f>'[1]PLANILLA SALARIAL '!G31</f>
        <v>7722</v>
      </c>
      <c r="AG33" s="247">
        <v>11</v>
      </c>
      <c r="AH33" s="247">
        <f t="shared" si="8"/>
        <v>84942</v>
      </c>
      <c r="AI33" s="247">
        <f t="shared" si="9"/>
        <v>8494.2000000000007</v>
      </c>
      <c r="AJ33" s="247">
        <f t="shared" si="10"/>
        <v>1452.5082</v>
      </c>
      <c r="AK33" s="247">
        <f t="shared" si="11"/>
        <v>2548.2599999999998</v>
      </c>
      <c r="AL33" s="267">
        <f t="shared" si="12"/>
        <v>1698.8400000000001</v>
      </c>
      <c r="AM33" s="272">
        <f t="shared" si="13"/>
        <v>99135.808199999985</v>
      </c>
    </row>
    <row r="34" spans="2:39" ht="22.5" customHeight="1">
      <c r="B34" s="248" t="str">
        <f>'ESTRUCTURA DE CARGOS'!B36</f>
        <v>Tecnico V</v>
      </c>
      <c r="C34" s="249" t="str">
        <f>'ESTRUCTURA DE CARGOS'!C36</f>
        <v xml:space="preserve">Tecnico Economista </v>
      </c>
      <c r="D34" s="250">
        <v>2024</v>
      </c>
      <c r="E34" s="251" t="s">
        <v>253</v>
      </c>
      <c r="F34" s="273">
        <f>'ESTRUCTURA DE CARGOS'!G36</f>
        <v>7722</v>
      </c>
      <c r="G34" s="266">
        <v>30</v>
      </c>
      <c r="H34" s="252">
        <v>30</v>
      </c>
      <c r="I34" s="252">
        <v>30</v>
      </c>
      <c r="J34" s="252">
        <v>30</v>
      </c>
      <c r="K34" s="252">
        <v>30</v>
      </c>
      <c r="L34" s="252">
        <v>30</v>
      </c>
      <c r="M34" s="252">
        <v>30</v>
      </c>
      <c r="N34" s="252">
        <v>30</v>
      </c>
      <c r="O34" s="252">
        <v>30</v>
      </c>
      <c r="P34" s="252">
        <v>30</v>
      </c>
      <c r="Q34" s="252">
        <v>30</v>
      </c>
      <c r="R34" s="252">
        <v>30</v>
      </c>
      <c r="S34" s="252">
        <f t="shared" si="0"/>
        <v>360</v>
      </c>
      <c r="T34" s="252">
        <f t="shared" si="1"/>
        <v>12</v>
      </c>
      <c r="U34" s="252">
        <f t="shared" si="15"/>
        <v>92664</v>
      </c>
      <c r="V34" s="252">
        <f t="shared" si="3"/>
        <v>9266.4</v>
      </c>
      <c r="W34" s="252">
        <f t="shared" si="4"/>
        <v>1584.5544</v>
      </c>
      <c r="X34" s="252">
        <f t="shared" si="5"/>
        <v>2779.92</v>
      </c>
      <c r="Y34" s="268">
        <f t="shared" si="6"/>
        <v>1853.28</v>
      </c>
      <c r="Z34" s="273">
        <f t="shared" si="14"/>
        <v>108148.15439999998</v>
      </c>
      <c r="AB34" s="248" t="str">
        <f>'[1]PLANILLA SALARIAL '!B32</f>
        <v>Tecnico V</v>
      </c>
      <c r="AC34" s="249" t="str">
        <f>'[1]PLANILLA SALARIAL '!C32</f>
        <v xml:space="preserve">Tecnico Economista </v>
      </c>
      <c r="AD34" s="14">
        <f>'[1]PLANILLA SALARIAL '!E32</f>
        <v>2023</v>
      </c>
      <c r="AE34" s="15" t="str">
        <f>'[1]PLANILLA SALARIAL '!F32</f>
        <v xml:space="preserve">OPERATIVO </v>
      </c>
      <c r="AF34" s="282">
        <f>'[1]PLANILLA SALARIAL '!G32</f>
        <v>7722</v>
      </c>
      <c r="AG34" s="247">
        <v>11</v>
      </c>
      <c r="AH34" s="247">
        <f t="shared" si="8"/>
        <v>84942</v>
      </c>
      <c r="AI34" s="247">
        <f t="shared" si="9"/>
        <v>8494.2000000000007</v>
      </c>
      <c r="AJ34" s="247">
        <f t="shared" si="10"/>
        <v>1452.5082</v>
      </c>
      <c r="AK34" s="247">
        <f t="shared" si="11"/>
        <v>2548.2599999999998</v>
      </c>
      <c r="AL34" s="267">
        <f t="shared" si="12"/>
        <v>1698.8400000000001</v>
      </c>
      <c r="AM34" s="272">
        <f t="shared" si="13"/>
        <v>99135.808199999985</v>
      </c>
    </row>
    <row r="35" spans="2:39" ht="45.75" customHeight="1" thickBot="1">
      <c r="B35" s="248" t="str">
        <f>'ESTRUCTURA DE CARGOS'!B37</f>
        <v>Auxiliar I</v>
      </c>
      <c r="C35" s="249" t="str">
        <f>'ESTRUCTURA DE CARGOS'!C37</f>
        <v>Chofer Mensajero Operaciones Crediticias</v>
      </c>
      <c r="D35" s="253">
        <v>2024</v>
      </c>
      <c r="E35" s="254" t="s">
        <v>253</v>
      </c>
      <c r="F35" s="273">
        <f>'ESTRUCTURA DE CARGOS'!G37</f>
        <v>4009</v>
      </c>
      <c r="G35" s="266">
        <v>30</v>
      </c>
      <c r="H35" s="252">
        <v>30</v>
      </c>
      <c r="I35" s="252">
        <v>30</v>
      </c>
      <c r="J35" s="252">
        <v>30</v>
      </c>
      <c r="K35" s="252">
        <v>30</v>
      </c>
      <c r="L35" s="252">
        <v>30</v>
      </c>
      <c r="M35" s="252">
        <v>30</v>
      </c>
      <c r="N35" s="271">
        <v>30</v>
      </c>
      <c r="O35" s="271">
        <v>30</v>
      </c>
      <c r="P35" s="271">
        <v>30</v>
      </c>
      <c r="Q35" s="271">
        <v>30</v>
      </c>
      <c r="R35" s="271">
        <v>30</v>
      </c>
      <c r="S35" s="252">
        <f t="shared" si="0"/>
        <v>360</v>
      </c>
      <c r="T35" s="252">
        <f t="shared" si="1"/>
        <v>12</v>
      </c>
      <c r="U35" s="252">
        <f t="shared" si="15"/>
        <v>48108</v>
      </c>
      <c r="V35" s="252">
        <f t="shared" si="3"/>
        <v>4810.8</v>
      </c>
      <c r="W35" s="252">
        <f t="shared" si="4"/>
        <v>822.64679999999998</v>
      </c>
      <c r="X35" s="252">
        <f t="shared" si="5"/>
        <v>1443.24</v>
      </c>
      <c r="Y35" s="268">
        <f t="shared" si="6"/>
        <v>962.16</v>
      </c>
      <c r="Z35" s="273">
        <f t="shared" si="14"/>
        <v>56146.846800000007</v>
      </c>
      <c r="AB35" s="248" t="str">
        <f>'[1]PLANILLA SALARIAL '!B33</f>
        <v>Auxiliar I</v>
      </c>
      <c r="AC35" s="249" t="str">
        <f>'[1]PLANILLA SALARIAL '!C33</f>
        <v>Chofer Mensajero Operaciones Crediticias</v>
      </c>
      <c r="AD35" s="194">
        <f>'[1]PLANILLA SALARIAL '!E33</f>
        <v>2023</v>
      </c>
      <c r="AE35" s="222" t="str">
        <f>'[1]PLANILLA SALARIAL '!F33</f>
        <v xml:space="preserve">OPERATIVO </v>
      </c>
      <c r="AF35" s="282">
        <f>'[1]PLANILLA SALARIAL '!G33</f>
        <v>4009</v>
      </c>
      <c r="AG35" s="247">
        <v>11</v>
      </c>
      <c r="AH35" s="247">
        <f t="shared" si="8"/>
        <v>44099</v>
      </c>
      <c r="AI35" s="247">
        <f t="shared" si="9"/>
        <v>4409.9000000000005</v>
      </c>
      <c r="AJ35" s="247">
        <f t="shared" si="10"/>
        <v>754.09289999999999</v>
      </c>
      <c r="AK35" s="247">
        <f t="shared" si="11"/>
        <v>1322.97</v>
      </c>
      <c r="AL35" s="267">
        <f t="shared" si="12"/>
        <v>881.98</v>
      </c>
      <c r="AM35" s="272">
        <f t="shared" si="13"/>
        <v>51467.942900000009</v>
      </c>
    </row>
    <row r="36" spans="2:39" ht="14.7" thickBot="1">
      <c r="B36" s="420" t="s">
        <v>50</v>
      </c>
      <c r="C36" s="421"/>
      <c r="D36" s="421"/>
      <c r="E36" s="422"/>
      <c r="F36" s="275">
        <f>SUM(F9:F35)</f>
        <v>229878</v>
      </c>
      <c r="G36" s="276"/>
      <c r="H36" s="276"/>
      <c r="I36" s="276"/>
      <c r="J36" s="276"/>
      <c r="K36" s="276"/>
      <c r="L36" s="276"/>
      <c r="M36" s="276"/>
      <c r="N36" s="276"/>
      <c r="O36" s="276"/>
      <c r="P36" s="276"/>
      <c r="Q36" s="276"/>
      <c r="R36" s="276"/>
      <c r="S36" s="276"/>
      <c r="T36" s="277"/>
      <c r="U36" s="278">
        <f t="shared" ref="U36:Z36" si="16">SUM(U9:U35)</f>
        <v>2758536</v>
      </c>
      <c r="V36" s="279">
        <f t="shared" si="16"/>
        <v>275853.60000000003</v>
      </c>
      <c r="W36" s="279">
        <f t="shared" si="16"/>
        <v>47170.96560000001</v>
      </c>
      <c r="X36" s="279">
        <f t="shared" si="16"/>
        <v>82756.080000000016</v>
      </c>
      <c r="Y36" s="279">
        <f t="shared" si="16"/>
        <v>55170.720000000001</v>
      </c>
      <c r="Z36" s="280">
        <f t="shared" si="16"/>
        <v>3219487.3656000006</v>
      </c>
      <c r="AB36" s="420" t="str">
        <f>'[1]PLANILLA SALARIAL '!B34</f>
        <v xml:space="preserve">TOTAL </v>
      </c>
      <c r="AC36" s="421"/>
      <c r="AD36" s="421"/>
      <c r="AE36" s="422"/>
      <c r="AF36" s="275">
        <f>SUM(AF9:AF35)</f>
        <v>229878</v>
      </c>
      <c r="AG36" s="275"/>
      <c r="AH36" s="275">
        <f t="shared" ref="AH36:AM36" si="17">SUM(AH9:AH35)</f>
        <v>2621136</v>
      </c>
      <c r="AI36" s="275">
        <f t="shared" si="17"/>
        <v>262113.60000000006</v>
      </c>
      <c r="AJ36" s="275">
        <f t="shared" si="17"/>
        <v>44821.425599999995</v>
      </c>
      <c r="AK36" s="275">
        <f t="shared" si="17"/>
        <v>78634.079999999987</v>
      </c>
      <c r="AL36" s="275">
        <f t="shared" si="17"/>
        <v>52422.719999999994</v>
      </c>
      <c r="AM36" s="275">
        <f t="shared" si="17"/>
        <v>3059127.8256000001</v>
      </c>
    </row>
  </sheetData>
  <mergeCells count="27">
    <mergeCell ref="D7:D8"/>
    <mergeCell ref="E7:E8"/>
    <mergeCell ref="F7:F8"/>
    <mergeCell ref="G7:R7"/>
    <mergeCell ref="AB36:AE36"/>
    <mergeCell ref="B36:E36"/>
    <mergeCell ref="C2:Z2"/>
    <mergeCell ref="AB7:AB8"/>
    <mergeCell ref="AC7:AC8"/>
    <mergeCell ref="B3:AM3"/>
    <mergeCell ref="B4:AM4"/>
    <mergeCell ref="B5:AM5"/>
    <mergeCell ref="S7:S8"/>
    <mergeCell ref="T7:T8"/>
    <mergeCell ref="U7:U8"/>
    <mergeCell ref="V7:Y7"/>
    <mergeCell ref="Z7:Z8"/>
    <mergeCell ref="V6:Y6"/>
    <mergeCell ref="B7:B8"/>
    <mergeCell ref="C7:C8"/>
    <mergeCell ref="AG7:AG8"/>
    <mergeCell ref="AH7:AH8"/>
    <mergeCell ref="AI7:AL7"/>
    <mergeCell ref="AM7:AM8"/>
    <mergeCell ref="AD7:AD8"/>
    <mergeCell ref="AE7:AE8"/>
    <mergeCell ref="AF7:AF8"/>
  </mergeCells>
  <printOptions horizontalCentered="1"/>
  <pageMargins left="0.2" right="0.2" top="0.31496062992125984" bottom="0.19685039370078741" header="0.31496062992125984" footer="0.31496062992125984"/>
  <pageSetup scale="50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7"/>
  <sheetViews>
    <sheetView workbookViewId="0"/>
  </sheetViews>
  <sheetFormatPr baseColWidth="10" defaultRowHeight="14.4"/>
  <cols>
    <col min="2" max="2" width="17.1015625" customWidth="1"/>
    <col min="3" max="4" width="17.41796875" customWidth="1"/>
    <col min="5" max="5" width="17.68359375" customWidth="1"/>
    <col min="6" max="6" width="20.3125" customWidth="1"/>
    <col min="7" max="7" width="22.3125" customWidth="1"/>
  </cols>
  <sheetData>
    <row r="3" spans="2:7" ht="28.8">
      <c r="C3" s="239" t="s">
        <v>332</v>
      </c>
      <c r="D3" s="239" t="s">
        <v>331</v>
      </c>
      <c r="E3" s="239" t="s">
        <v>329</v>
      </c>
      <c r="F3" s="239" t="s">
        <v>330</v>
      </c>
      <c r="G3" s="239" t="s">
        <v>50</v>
      </c>
    </row>
    <row r="4" spans="2:7" ht="43.2">
      <c r="B4" s="239" t="s">
        <v>333</v>
      </c>
      <c r="C4" s="241">
        <f>'[1]PLANILLA SALARIAL '!$G$34</f>
        <v>229878</v>
      </c>
      <c r="D4" s="241">
        <f>C4*0.1671</f>
        <v>38412.613799999999</v>
      </c>
      <c r="E4" s="257">
        <v>2758536</v>
      </c>
      <c r="F4" s="242">
        <f>E4*0.1671</f>
        <v>460951.36560000002</v>
      </c>
      <c r="G4" s="242">
        <f>E4+F4</f>
        <v>3219487.3656000001</v>
      </c>
    </row>
    <row r="5" spans="2:7" ht="43.2">
      <c r="B5" s="239" t="s">
        <v>335</v>
      </c>
      <c r="C5" s="241">
        <v>229878</v>
      </c>
      <c r="D5" s="241">
        <f>C5*0.1671</f>
        <v>38412.613799999999</v>
      </c>
      <c r="E5" s="257">
        <v>2621136</v>
      </c>
      <c r="F5" s="242">
        <f>E5*0.1671</f>
        <v>437991.82559999998</v>
      </c>
      <c r="G5" s="242">
        <f>E5+F5</f>
        <v>3059127.8256000001</v>
      </c>
    </row>
    <row r="6" spans="2:7" ht="43.2">
      <c r="B6" s="239" t="s">
        <v>334</v>
      </c>
      <c r="C6" s="241">
        <v>229878</v>
      </c>
      <c r="D6" s="241">
        <f>C6*0.1671</f>
        <v>38412.613799999999</v>
      </c>
      <c r="E6" s="257">
        <v>2740656</v>
      </c>
      <c r="F6" s="242">
        <f>E6*0.1671</f>
        <v>457963.6176</v>
      </c>
      <c r="G6" s="242">
        <f>E6+F6</f>
        <v>3198619.6176</v>
      </c>
    </row>
    <row r="7" spans="2:7" ht="28.8">
      <c r="B7" s="265" t="s">
        <v>340</v>
      </c>
      <c r="C7" s="240">
        <f>C4-C6</f>
        <v>0</v>
      </c>
      <c r="D7" s="240">
        <f>D4-D6</f>
        <v>0</v>
      </c>
      <c r="E7" s="240">
        <f>E6-E5</f>
        <v>119520</v>
      </c>
      <c r="F7" s="240">
        <f>F4-F6</f>
        <v>2987.7480000000214</v>
      </c>
      <c r="G7" s="240">
        <f>G4-G6</f>
        <v>20867.748000000138</v>
      </c>
    </row>
  </sheetData>
  <pageMargins left="0.70866141732283472" right="0.70866141732283472" top="0.74803149606299213" bottom="0.74803149606299213" header="0.31496062992125984" footer="0.31496062992125984"/>
  <pageSetup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59"/>
  <sheetViews>
    <sheetView workbookViewId="0"/>
  </sheetViews>
  <sheetFormatPr baseColWidth="10" defaultRowHeight="14.4"/>
  <cols>
    <col min="1" max="1" width="22.5234375" customWidth="1"/>
    <col min="2" max="2" width="30.41796875" customWidth="1"/>
    <col min="3" max="4" width="7.41796875" customWidth="1"/>
    <col min="5" max="5" width="9.5234375" customWidth="1"/>
    <col min="6" max="7" width="4.89453125" hidden="1" customWidth="1"/>
    <col min="8" max="17" width="4.5234375" hidden="1" customWidth="1"/>
    <col min="18" max="19" width="7.5234375" customWidth="1"/>
    <col min="20" max="20" width="14" customWidth="1"/>
    <col min="21" max="21" width="13.41796875" customWidth="1"/>
    <col min="22" max="22" width="11.5234375" customWidth="1"/>
    <col min="23" max="23" width="11.68359375" customWidth="1"/>
    <col min="24" max="24" width="12.41796875" customWidth="1"/>
    <col min="25" max="25" width="16" customWidth="1"/>
    <col min="26" max="26" width="17.3125" style="53" customWidth="1"/>
    <col min="27" max="27" width="15.5234375" style="53" customWidth="1"/>
  </cols>
  <sheetData>
    <row r="1" spans="2:27" ht="67.5" customHeight="1"/>
    <row r="3" spans="2:27" s="1" customFormat="1" ht="51" customHeight="1">
      <c r="B3" s="337" t="s">
        <v>248</v>
      </c>
      <c r="C3" s="337"/>
      <c r="D3" s="337"/>
      <c r="E3" s="337"/>
      <c r="F3" s="337"/>
      <c r="G3" s="337"/>
      <c r="H3" s="337"/>
      <c r="I3" s="337"/>
      <c r="J3" s="337"/>
      <c r="K3" s="337"/>
      <c r="L3" s="337"/>
      <c r="M3" s="337"/>
      <c r="N3" s="337"/>
      <c r="O3" s="337"/>
      <c r="P3" s="337"/>
      <c r="Q3" s="337"/>
      <c r="R3" s="337"/>
      <c r="S3" s="337"/>
      <c r="T3" s="337"/>
      <c r="U3" s="337"/>
      <c r="V3" s="337"/>
      <c r="W3" s="337"/>
      <c r="X3" s="337"/>
      <c r="Y3" s="337"/>
      <c r="Z3" s="56"/>
      <c r="AA3" s="56"/>
    </row>
    <row r="4" spans="2:27" s="1" customFormat="1">
      <c r="B4" s="2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Z4" s="56"/>
      <c r="AA4" s="56"/>
    </row>
    <row r="5" spans="2:27" s="1" customFormat="1">
      <c r="B5" s="4"/>
      <c r="C5" s="5"/>
      <c r="D5" s="5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6"/>
      <c r="U5" s="338"/>
      <c r="V5" s="338"/>
      <c r="W5" s="338"/>
      <c r="X5" s="338"/>
      <c r="Z5" s="56"/>
      <c r="AA5" s="56"/>
    </row>
    <row r="6" spans="2:27" s="1" customFormat="1" ht="13.35" customHeight="1">
      <c r="B6" s="332" t="s">
        <v>1</v>
      </c>
      <c r="C6" s="339" t="s">
        <v>3</v>
      </c>
      <c r="D6" s="333" t="s">
        <v>4</v>
      </c>
      <c r="E6" s="332" t="s">
        <v>5</v>
      </c>
      <c r="F6" s="341" t="s">
        <v>6</v>
      </c>
      <c r="G6" s="342"/>
      <c r="H6" s="342"/>
      <c r="I6" s="342"/>
      <c r="J6" s="342"/>
      <c r="K6" s="342"/>
      <c r="L6" s="342"/>
      <c r="M6" s="342"/>
      <c r="N6" s="342"/>
      <c r="O6" s="342"/>
      <c r="P6" s="342"/>
      <c r="Q6" s="343"/>
      <c r="R6" s="332" t="s">
        <v>7</v>
      </c>
      <c r="S6" s="339" t="s">
        <v>8</v>
      </c>
      <c r="T6" s="332" t="s">
        <v>9</v>
      </c>
      <c r="U6" s="333" t="s">
        <v>10</v>
      </c>
      <c r="V6" s="333"/>
      <c r="W6" s="333"/>
      <c r="X6" s="333"/>
      <c r="Y6" s="334" t="s">
        <v>50</v>
      </c>
      <c r="Z6" s="335" t="s">
        <v>51</v>
      </c>
      <c r="AA6" s="56"/>
    </row>
    <row r="7" spans="2:27" s="1" customFormat="1" ht="24.75" customHeight="1">
      <c r="B7" s="332"/>
      <c r="C7" s="340"/>
      <c r="D7" s="333"/>
      <c r="E7" s="332"/>
      <c r="F7" s="135" t="s">
        <v>11</v>
      </c>
      <c r="G7" s="136" t="s">
        <v>12</v>
      </c>
      <c r="H7" s="136" t="s">
        <v>13</v>
      </c>
      <c r="I7" s="136" t="s">
        <v>14</v>
      </c>
      <c r="J7" s="136" t="s">
        <v>15</v>
      </c>
      <c r="K7" s="136" t="s">
        <v>16</v>
      </c>
      <c r="L7" s="136" t="s">
        <v>17</v>
      </c>
      <c r="M7" s="136" t="s">
        <v>18</v>
      </c>
      <c r="N7" s="136" t="s">
        <v>19</v>
      </c>
      <c r="O7" s="136" t="s">
        <v>20</v>
      </c>
      <c r="P7" s="136" t="s">
        <v>21</v>
      </c>
      <c r="Q7" s="136" t="s">
        <v>22</v>
      </c>
      <c r="R7" s="332"/>
      <c r="S7" s="340"/>
      <c r="T7" s="332"/>
      <c r="U7" s="137" t="s">
        <v>23</v>
      </c>
      <c r="V7" s="138" t="s">
        <v>24</v>
      </c>
      <c r="W7" s="138" t="s">
        <v>25</v>
      </c>
      <c r="X7" s="138" t="s">
        <v>26</v>
      </c>
      <c r="Y7" s="334"/>
      <c r="Z7" s="335"/>
      <c r="AA7" s="56"/>
    </row>
    <row r="8" spans="2:27" s="1" customFormat="1">
      <c r="B8" s="4"/>
      <c r="C8" s="5"/>
      <c r="D8" s="5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6"/>
      <c r="U8" s="6"/>
      <c r="V8" s="6"/>
      <c r="W8" s="6"/>
      <c r="X8" s="6"/>
      <c r="Y8" s="8"/>
      <c r="Z8" s="56"/>
      <c r="AA8" s="56"/>
    </row>
    <row r="9" spans="2:27" s="1" customFormat="1" ht="22.5" customHeight="1">
      <c r="B9" s="139" t="s">
        <v>27</v>
      </c>
      <c r="C9" s="140"/>
      <c r="D9" s="140"/>
      <c r="E9" s="141"/>
      <c r="F9" s="141"/>
      <c r="G9" s="141"/>
      <c r="H9" s="141"/>
      <c r="I9" s="141"/>
      <c r="J9" s="141"/>
      <c r="K9" s="141"/>
      <c r="L9" s="141"/>
      <c r="M9" s="141"/>
      <c r="N9" s="141"/>
      <c r="O9" s="141"/>
      <c r="P9" s="141"/>
      <c r="Q9" s="141"/>
      <c r="R9" s="141"/>
      <c r="S9" s="141"/>
      <c r="T9" s="141"/>
      <c r="U9" s="141"/>
      <c r="V9" s="141"/>
      <c r="W9" s="141"/>
      <c r="X9" s="141"/>
      <c r="Y9" s="142"/>
      <c r="Z9" s="56"/>
      <c r="AA9" s="56"/>
    </row>
    <row r="10" spans="2:27" s="1" customFormat="1">
      <c r="B10" s="9"/>
      <c r="C10" s="10"/>
      <c r="D10" s="10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2"/>
      <c r="Z10" s="56"/>
      <c r="AA10" s="56"/>
    </row>
    <row r="11" spans="2:27" s="1" customFormat="1">
      <c r="B11" s="13" t="s">
        <v>28</v>
      </c>
      <c r="C11" s="14">
        <v>2022</v>
      </c>
      <c r="D11" s="15" t="s">
        <v>30</v>
      </c>
      <c r="E11" s="16">
        <v>18987</v>
      </c>
      <c r="F11" s="17">
        <v>30</v>
      </c>
      <c r="G11" s="17">
        <v>30</v>
      </c>
      <c r="H11" s="17">
        <v>30</v>
      </c>
      <c r="I11" s="17">
        <v>30</v>
      </c>
      <c r="J11" s="17">
        <v>30</v>
      </c>
      <c r="K11" s="17">
        <v>30</v>
      </c>
      <c r="L11" s="17">
        <v>30</v>
      </c>
      <c r="M11" s="17">
        <v>30</v>
      </c>
      <c r="N11" s="17">
        <v>30</v>
      </c>
      <c r="O11" s="17">
        <v>30</v>
      </c>
      <c r="P11" s="17">
        <v>30</v>
      </c>
      <c r="Q11" s="17">
        <v>30</v>
      </c>
      <c r="R11" s="15">
        <f>SUM(F11:Q11)</f>
        <v>360</v>
      </c>
      <c r="S11" s="18">
        <f>+R11/30</f>
        <v>12</v>
      </c>
      <c r="T11" s="16">
        <f>ROUND(PRODUCT(E11*S11),0)</f>
        <v>227844</v>
      </c>
      <c r="U11" s="16">
        <f>T11*0.1</f>
        <v>22784.400000000001</v>
      </c>
      <c r="V11" s="16">
        <f>T11*0.0171</f>
        <v>3896.1324</v>
      </c>
      <c r="W11" s="16">
        <f>T11*0.03</f>
        <v>6835.32</v>
      </c>
      <c r="X11" s="19">
        <f>T11*0.02</f>
        <v>4556.88</v>
      </c>
      <c r="Y11" s="17">
        <f>SUM(T11:X11)</f>
        <v>265916.73239999998</v>
      </c>
      <c r="Z11" s="56">
        <f>+E11*R11/360</f>
        <v>18987</v>
      </c>
      <c r="AA11" s="56">
        <f>+Z11+Y11</f>
        <v>284903.73239999998</v>
      </c>
    </row>
    <row r="12" spans="2:27" s="1" customFormat="1">
      <c r="B12" s="4"/>
      <c r="C12" s="5"/>
      <c r="D12" s="5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31"/>
      <c r="U12" s="6"/>
      <c r="V12" s="6"/>
      <c r="W12" s="6"/>
      <c r="X12" s="6"/>
      <c r="Y12" s="175"/>
      <c r="Z12" s="56"/>
      <c r="AA12" s="56">
        <f>+Z12+Y12</f>
        <v>0</v>
      </c>
    </row>
    <row r="13" spans="2:27" s="1" customFormat="1">
      <c r="B13" s="32" t="s">
        <v>40</v>
      </c>
      <c r="C13" s="34"/>
      <c r="D13" s="35"/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7">
        <f>SUM(T12:T12)</f>
        <v>0</v>
      </c>
      <c r="U13" s="37">
        <f>SUM(U11:U12)</f>
        <v>22784.400000000001</v>
      </c>
      <c r="V13" s="37">
        <f>SUM(V11:V12)</f>
        <v>3896.1324</v>
      </c>
      <c r="W13" s="37">
        <f>SUM(W11:W12)</f>
        <v>6835.32</v>
      </c>
      <c r="X13" s="37">
        <f>SUM(X11:X12)</f>
        <v>4556.88</v>
      </c>
      <c r="Y13" s="37">
        <f>SUM(Y11:Y12)</f>
        <v>265916.73239999998</v>
      </c>
      <c r="Z13" s="56">
        <f>SUM(Z10:Z11)</f>
        <v>18987</v>
      </c>
      <c r="AA13" s="57">
        <f>SUM(AA10:AA11)</f>
        <v>284903.73239999998</v>
      </c>
    </row>
    <row r="14" spans="2:27" s="1" customFormat="1">
      <c r="B14" s="32" t="s">
        <v>243</v>
      </c>
      <c r="C14" s="34"/>
      <c r="D14" s="35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8">
        <f>SUM(T13:T13)</f>
        <v>0</v>
      </c>
      <c r="U14" s="38">
        <f>SUM(U13:U13)</f>
        <v>22784.400000000001</v>
      </c>
      <c r="V14" s="38">
        <f>SUM(V13:V13)</f>
        <v>3896.1324</v>
      </c>
      <c r="W14" s="38">
        <f>SUM(W13:W13)</f>
        <v>6835.32</v>
      </c>
      <c r="X14" s="38">
        <f>SUM(X13:X13)</f>
        <v>4556.88</v>
      </c>
      <c r="Y14" s="176"/>
      <c r="Z14" s="56"/>
      <c r="AA14" s="56"/>
    </row>
    <row r="15" spans="2:27" s="127" customFormat="1">
      <c r="B15" s="122"/>
      <c r="C15" s="123"/>
      <c r="D15" s="122"/>
      <c r="E15" s="124"/>
      <c r="F15" s="124"/>
      <c r="G15" s="124"/>
      <c r="H15" s="124"/>
      <c r="I15" s="124"/>
      <c r="J15" s="124"/>
      <c r="K15" s="124"/>
      <c r="L15" s="124"/>
      <c r="M15" s="124"/>
      <c r="N15" s="124"/>
      <c r="O15" s="124"/>
      <c r="P15" s="124"/>
      <c r="Q15" s="124"/>
      <c r="R15" s="124"/>
      <c r="S15" s="124"/>
      <c r="T15" s="125"/>
      <c r="U15" s="126"/>
      <c r="V15" s="126"/>
      <c r="W15" s="126"/>
      <c r="X15" s="126"/>
      <c r="Y15" s="131"/>
      <c r="Z15" s="132"/>
      <c r="AA15" s="132"/>
    </row>
    <row r="16" spans="2:27" s="127" customFormat="1">
      <c r="B16" s="122"/>
      <c r="C16" s="123"/>
      <c r="D16" s="122"/>
      <c r="E16" s="124"/>
      <c r="F16" s="124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5"/>
      <c r="U16" s="126"/>
      <c r="V16" s="126"/>
      <c r="W16" s="126"/>
      <c r="X16" s="126"/>
      <c r="Y16" s="131"/>
      <c r="Z16" s="132"/>
      <c r="AA16" s="132"/>
    </row>
    <row r="17" spans="2:27" s="127" customFormat="1">
      <c r="B17" s="122"/>
      <c r="C17" s="123"/>
      <c r="D17" s="122"/>
      <c r="E17" s="124"/>
      <c r="F17" s="124"/>
      <c r="G17" s="124"/>
      <c r="H17" s="124"/>
      <c r="I17" s="124"/>
      <c r="J17" s="124"/>
      <c r="K17" s="124"/>
      <c r="L17" s="124"/>
      <c r="M17" s="124"/>
      <c r="N17" s="124"/>
      <c r="O17" s="124"/>
      <c r="P17" s="124"/>
      <c r="Q17" s="124"/>
      <c r="R17" s="124"/>
      <c r="S17" s="124"/>
      <c r="T17" s="125"/>
      <c r="U17" s="126"/>
      <c r="V17" s="126"/>
      <c r="W17" s="126"/>
      <c r="X17" s="126"/>
      <c r="Y17" s="131"/>
      <c r="Z17" s="132"/>
      <c r="AA17" s="132"/>
    </row>
    <row r="18" spans="2:27" s="127" customFormat="1">
      <c r="B18" s="122"/>
      <c r="C18" s="123"/>
      <c r="D18" s="122"/>
      <c r="E18" s="124"/>
      <c r="F18" s="124"/>
      <c r="G18" s="124"/>
      <c r="H18" s="124"/>
      <c r="I18" s="124"/>
      <c r="J18" s="124"/>
      <c r="K18" s="124"/>
      <c r="L18" s="124"/>
      <c r="M18" s="124"/>
      <c r="N18" s="124"/>
      <c r="O18" s="124"/>
      <c r="P18" s="124"/>
      <c r="Q18" s="124"/>
      <c r="R18" s="124"/>
      <c r="S18" s="124"/>
      <c r="T18" s="125"/>
      <c r="U18" s="126"/>
      <c r="V18" s="126"/>
      <c r="W18" s="126"/>
      <c r="X18" s="126"/>
      <c r="Y18" s="131"/>
      <c r="Z18" s="132"/>
      <c r="AA18" s="132"/>
    </row>
    <row r="19" spans="2:27" s="1" customFormat="1">
      <c r="B19" s="4"/>
      <c r="C19" s="5"/>
      <c r="D19" s="5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3"/>
      <c r="U19" s="6"/>
      <c r="V19" s="6"/>
      <c r="W19" s="6"/>
      <c r="X19" s="6"/>
      <c r="Y19" s="44"/>
      <c r="Z19" s="56"/>
      <c r="AA19" s="56">
        <f>+Y24-AA13</f>
        <v>1643603.2675999999</v>
      </c>
    </row>
    <row r="20" spans="2:27" s="1" customFormat="1" ht="14.1" customHeight="1">
      <c r="B20" s="45"/>
      <c r="C20" s="133"/>
      <c r="D20" s="133"/>
      <c r="E20" s="133"/>
      <c r="F20" s="133"/>
      <c r="G20" s="133"/>
      <c r="H20" s="133"/>
      <c r="I20" s="133"/>
      <c r="J20" s="133"/>
      <c r="K20" s="133"/>
      <c r="L20" s="133"/>
      <c r="M20" s="133"/>
      <c r="N20" s="133"/>
      <c r="O20" s="133"/>
      <c r="P20" s="133"/>
      <c r="Q20" s="133"/>
      <c r="R20" s="169">
        <f>SUM(S11:S11)</f>
        <v>12</v>
      </c>
      <c r="S20" s="45"/>
      <c r="T20" s="46"/>
      <c r="U20" s="331" t="s">
        <v>42</v>
      </c>
      <c r="V20" s="331"/>
      <c r="W20" s="331"/>
      <c r="X20" s="331"/>
      <c r="Y20" s="47">
        <f>E11</f>
        <v>18987</v>
      </c>
      <c r="Z20" s="56"/>
      <c r="AA20" s="56"/>
    </row>
    <row r="21" spans="2:27" s="1" customFormat="1">
      <c r="B21" s="45"/>
      <c r="C21" s="133"/>
      <c r="D21" s="133"/>
      <c r="E21" s="171" t="e">
        <f>E11+#REF!+#REF!+#REF!+#REF!+#REF!+#REF!+#REF!+#REF!+#REF!+#REF!+#REF!+#REF!+#REF!+#REF!+#REF!+#REF!+#REF!+#REF!+#REF!+#REF!+#REF!+#REF!+#REF!+#REF!+#REF!+#REF!</f>
        <v>#REF!</v>
      </c>
      <c r="F21" s="133"/>
      <c r="G21" s="133"/>
      <c r="H21" s="133"/>
      <c r="I21" s="133"/>
      <c r="J21" s="133"/>
      <c r="K21" s="133"/>
      <c r="L21" s="133"/>
      <c r="M21" s="133"/>
      <c r="N21" s="133"/>
      <c r="O21" s="133"/>
      <c r="P21" s="133"/>
      <c r="Q21" s="133"/>
      <c r="R21" s="45">
        <f>R20/27</f>
        <v>0.44444444444444442</v>
      </c>
      <c r="S21" s="45"/>
      <c r="T21" s="45"/>
      <c r="U21" s="45"/>
      <c r="V21" s="45"/>
      <c r="W21" s="45"/>
      <c r="X21" s="45"/>
      <c r="Y21" s="45"/>
      <c r="Z21" s="56"/>
      <c r="AA21" s="56"/>
    </row>
    <row r="22" spans="2:27" s="1" customFormat="1" ht="14.1" customHeight="1">
      <c r="B22" s="45"/>
      <c r="C22" s="133"/>
      <c r="D22" s="133"/>
      <c r="E22" s="172" t="e">
        <f>E21-19535</f>
        <v>#REF!</v>
      </c>
      <c r="F22" s="133"/>
      <c r="G22" s="133"/>
      <c r="H22" s="133"/>
      <c r="I22" s="133"/>
      <c r="J22" s="133"/>
      <c r="K22" s="133"/>
      <c r="L22" s="133"/>
      <c r="M22" s="133"/>
      <c r="N22" s="133"/>
      <c r="O22" s="133"/>
      <c r="P22" s="133"/>
      <c r="Q22" s="133"/>
      <c r="R22" s="45"/>
      <c r="S22" s="45"/>
      <c r="T22" s="48"/>
      <c r="U22" s="331" t="s">
        <v>43</v>
      </c>
      <c r="V22" s="331"/>
      <c r="W22" s="331"/>
      <c r="X22" s="331"/>
      <c r="Y22" s="49">
        <f>Y20+Y13</f>
        <v>284903.73239999998</v>
      </c>
      <c r="Z22" s="56" t="s">
        <v>45</v>
      </c>
      <c r="AA22" s="56">
        <f>V13+W13+X13+Z13</f>
        <v>34275.332399999999</v>
      </c>
    </row>
    <row r="23" spans="2:27" s="1" customFormat="1">
      <c r="B23" s="45"/>
      <c r="C23" s="133"/>
      <c r="D23" s="133"/>
      <c r="E23" s="133"/>
      <c r="F23" s="133"/>
      <c r="G23" s="133"/>
      <c r="H23" s="133"/>
      <c r="I23" s="133"/>
      <c r="J23" s="133"/>
      <c r="K23" s="133"/>
      <c r="L23" s="133"/>
      <c r="M23" s="133"/>
      <c r="N23" s="133"/>
      <c r="O23" s="133"/>
      <c r="P23" s="133"/>
      <c r="Q23" s="133"/>
      <c r="R23" s="45"/>
      <c r="S23" s="45"/>
      <c r="T23" s="50"/>
      <c r="U23" s="45"/>
      <c r="V23" s="45"/>
      <c r="W23" s="45"/>
      <c r="X23" s="45"/>
      <c r="Y23" s="45"/>
      <c r="Z23" s="56"/>
      <c r="AA23" s="56"/>
    </row>
    <row r="24" spans="2:27" s="1" customFormat="1" ht="14.1" customHeight="1">
      <c r="B24" s="45"/>
      <c r="C24" s="133"/>
      <c r="D24" s="133"/>
      <c r="E24" s="133"/>
      <c r="F24" s="133"/>
      <c r="G24" s="133"/>
      <c r="H24" s="133"/>
      <c r="I24" s="133"/>
      <c r="J24" s="133"/>
      <c r="K24" s="133"/>
      <c r="L24" s="133"/>
      <c r="M24" s="133"/>
      <c r="N24" s="133"/>
      <c r="O24" s="133"/>
      <c r="P24" s="133"/>
      <c r="Q24" s="133"/>
      <c r="R24" s="45"/>
      <c r="S24" s="45"/>
      <c r="T24" s="51"/>
      <c r="U24" s="331" t="s">
        <v>44</v>
      </c>
      <c r="V24" s="331"/>
      <c r="W24" s="331"/>
      <c r="X24" s="331"/>
      <c r="Y24" s="52">
        <v>1928507</v>
      </c>
      <c r="Z24" s="56"/>
      <c r="AA24" s="56"/>
    </row>
    <row r="25" spans="2:27" s="1" customFormat="1" ht="14.1" customHeight="1">
      <c r="B25" s="45"/>
      <c r="C25" s="133"/>
      <c r="D25" s="133"/>
      <c r="E25" s="133"/>
      <c r="F25" s="133"/>
      <c r="G25" s="133"/>
      <c r="H25" s="133"/>
      <c r="I25" s="133"/>
      <c r="J25" s="133"/>
      <c r="K25" s="133"/>
      <c r="L25" s="133"/>
      <c r="M25" s="133"/>
      <c r="N25" s="133"/>
      <c r="O25" s="133"/>
      <c r="P25" s="133"/>
      <c r="Q25" s="133"/>
      <c r="R25" s="45"/>
      <c r="S25" s="45"/>
      <c r="T25" s="51"/>
      <c r="U25" s="54"/>
      <c r="V25" s="54"/>
      <c r="W25" s="54"/>
      <c r="X25" s="54"/>
      <c r="Y25" s="55"/>
      <c r="Z25" s="56"/>
      <c r="AA25" s="56"/>
    </row>
    <row r="26" spans="2:27">
      <c r="U26" s="59" t="s">
        <v>46</v>
      </c>
      <c r="V26" s="59"/>
      <c r="W26" s="59"/>
      <c r="X26" s="59"/>
      <c r="Y26" s="134">
        <f>+T13</f>
        <v>0</v>
      </c>
    </row>
    <row r="27" spans="2:27">
      <c r="U27" t="s">
        <v>47</v>
      </c>
      <c r="Y27" s="53">
        <f>+T11</f>
        <v>227844</v>
      </c>
    </row>
    <row r="28" spans="2:27">
      <c r="U28" t="s">
        <v>48</v>
      </c>
      <c r="Y28" s="53">
        <f>+U13+V13+W13+X13</f>
        <v>38072.732400000001</v>
      </c>
    </row>
    <row r="29" spans="2:27">
      <c r="U29" t="s">
        <v>49</v>
      </c>
      <c r="Y29" s="53">
        <f>+Z13</f>
        <v>18987</v>
      </c>
    </row>
    <row r="30" spans="2:27" ht="14.7" thickBot="1"/>
    <row r="31" spans="2:27" ht="14.7" thickBot="1">
      <c r="Y31" s="58">
        <f>SUM(Y26:Y30)</f>
        <v>284903.73239999998</v>
      </c>
    </row>
    <row r="33" spans="21:27">
      <c r="Y33" s="53">
        <f>+Y24-Y31</f>
        <v>1643603.2675999999</v>
      </c>
    </row>
    <row r="35" spans="21:27">
      <c r="W35" t="s">
        <v>188</v>
      </c>
      <c r="X35" t="s">
        <v>189</v>
      </c>
    </row>
    <row r="36" spans="21:27">
      <c r="W36" s="156" t="s">
        <v>178</v>
      </c>
      <c r="X36" s="156" t="s">
        <v>179</v>
      </c>
      <c r="Y36" s="156" t="s">
        <v>190</v>
      </c>
    </row>
    <row r="37" spans="21:27">
      <c r="U37" s="158" t="s">
        <v>180</v>
      </c>
      <c r="W37" s="157">
        <f>Z11</f>
        <v>18987</v>
      </c>
      <c r="X37" s="157">
        <v>0</v>
      </c>
      <c r="Y37" s="157">
        <f>W37+X37</f>
        <v>18987</v>
      </c>
    </row>
    <row r="38" spans="21:27">
      <c r="U38" s="158" t="s">
        <v>181</v>
      </c>
      <c r="W38" s="157">
        <v>0</v>
      </c>
      <c r="X38" s="157">
        <v>0</v>
      </c>
      <c r="Y38" s="157">
        <f t="shared" ref="Y38:Y45" si="0">W38+X38</f>
        <v>0</v>
      </c>
    </row>
    <row r="39" spans="21:27">
      <c r="U39" s="158" t="s">
        <v>182</v>
      </c>
      <c r="W39" s="157">
        <f>T11</f>
        <v>227844</v>
      </c>
      <c r="X39" s="157">
        <v>0</v>
      </c>
      <c r="Y39" s="157">
        <f t="shared" si="0"/>
        <v>227844</v>
      </c>
    </row>
    <row r="40" spans="21:27">
      <c r="U40" s="158" t="s">
        <v>183</v>
      </c>
      <c r="W40" s="157">
        <v>0</v>
      </c>
      <c r="X40" s="157" t="e">
        <f>#REF!+#REF!+#REF!+#REF!+#REF!+#REF!+#REF!+#REF!+#REF!+#REF!+#REF!+#REF!+#REF!+#REF!+#REF!+#REF!+#REF!+#REF!+#REF!+#REF!+#REF!+#REF!+#REF!+#REF!+#REF!+#REF!</f>
        <v>#REF!</v>
      </c>
      <c r="Y40" s="157" t="e">
        <f t="shared" si="0"/>
        <v>#REF!</v>
      </c>
    </row>
    <row r="41" spans="21:27">
      <c r="U41" s="158" t="s">
        <v>184</v>
      </c>
      <c r="W41" s="157">
        <f>U11</f>
        <v>22784.400000000001</v>
      </c>
      <c r="X41" s="157" t="e">
        <f>#REF!+#REF!+#REF!+#REF!+#REF!+#REF!+#REF!+#REF!+#REF!+#REF!+#REF!+#REF!+#REF!+#REF!+#REF!+#REF!+#REF!+#REF!+#REF!+#REF!+#REF!+#REF!+#REF!+#REF!+#REF!+#REF!</f>
        <v>#REF!</v>
      </c>
      <c r="Y41" s="157" t="e">
        <f t="shared" si="0"/>
        <v>#REF!</v>
      </c>
    </row>
    <row r="42" spans="21:27">
      <c r="U42" s="158" t="s">
        <v>185</v>
      </c>
      <c r="W42" s="157">
        <f>V11</f>
        <v>3896.1324</v>
      </c>
      <c r="X42" s="157" t="e">
        <f>#REF!+#REF!+#REF!+#REF!+#REF!+#REF!+#REF!+#REF!+#REF!+#REF!+#REF!+#REF!+#REF!+#REF!+#REF!+#REF!+#REF!+#REF!+#REF!+#REF!+#REF!+#REF!+#REF!+#REF!+#REF!+#REF!</f>
        <v>#REF!</v>
      </c>
      <c r="Y42" s="157" t="e">
        <f t="shared" si="0"/>
        <v>#REF!</v>
      </c>
    </row>
    <row r="43" spans="21:27">
      <c r="U43" s="158" t="s">
        <v>186</v>
      </c>
      <c r="W43" s="157">
        <f>W11</f>
        <v>6835.32</v>
      </c>
      <c r="X43" s="157" t="e">
        <f>#REF!+#REF!+#REF!+#REF!+#REF!+#REF!+#REF!+#REF!+#REF!+#REF!+#REF!+#REF!+#REF!+#REF!+#REF!+#REF!+#REF!+#REF!+#REF!+#REF!+#REF!+#REF!+#REF!+#REF!+#REF!+#REF!</f>
        <v>#REF!</v>
      </c>
      <c r="Y43" s="157" t="e">
        <f t="shared" si="0"/>
        <v>#REF!</v>
      </c>
    </row>
    <row r="44" spans="21:27">
      <c r="U44" s="158" t="s">
        <v>187</v>
      </c>
      <c r="W44" s="157">
        <f>X11</f>
        <v>4556.88</v>
      </c>
      <c r="X44" s="157" t="e">
        <f>#REF!+#REF!+#REF!+#REF!+#REF!+#REF!+#REF!+#REF!+#REF!+#REF!+#REF!+#REF!+#REF!+#REF!+#REF!+#REF!+#REF!+#REF!+#REF!+#REF!+#REF!+#REF!+#REF!+#REF!+#REF!+#REF!</f>
        <v>#REF!</v>
      </c>
      <c r="Y44" s="157" t="e">
        <f t="shared" si="0"/>
        <v>#REF!</v>
      </c>
    </row>
    <row r="45" spans="21:27">
      <c r="U45" s="158" t="s">
        <v>191</v>
      </c>
      <c r="W45" s="157"/>
      <c r="X45" s="157" t="e">
        <f>#REF!+#REF!+#REF!+#REF!+#REF!+#REF!+#REF!+#REF!+#REF!+#REF!+#REF!+#REF!+#REF!+#REF!+#REF!+#REF!+#REF!+#REF!+#REF!+#REF!+#REF!+#REF!+#REF!+#REF!+#REF!+#REF!</f>
        <v>#REF!</v>
      </c>
      <c r="Y45" s="157" t="e">
        <f t="shared" si="0"/>
        <v>#REF!</v>
      </c>
    </row>
    <row r="46" spans="21:27">
      <c r="W46" s="170">
        <f>SUM(W37:W45)</f>
        <v>284903.73240000004</v>
      </c>
      <c r="X46" s="170" t="e">
        <f>SUM(X37:X45)</f>
        <v>#REF!</v>
      </c>
      <c r="Y46" s="170" t="e">
        <f>SUM(Y37:Y45)</f>
        <v>#REF!</v>
      </c>
      <c r="Z46" s="53">
        <v>1928507</v>
      </c>
      <c r="AA46" s="53" t="e">
        <f>Y46-Z46</f>
        <v>#REF!</v>
      </c>
    </row>
    <row r="49" spans="1:31">
      <c r="U49" s="53" t="e">
        <f>X41+X42+X43+X44</f>
        <v>#REF!</v>
      </c>
      <c r="W49" s="156"/>
      <c r="X49" s="156"/>
      <c r="Y49" s="156"/>
    </row>
    <row r="50" spans="1:31" s="53" customFormat="1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 s="158"/>
      <c r="V50"/>
      <c r="W50" s="157"/>
      <c r="X50" s="157"/>
      <c r="Y50" s="157"/>
      <c r="AB50"/>
      <c r="AC50"/>
      <c r="AD50"/>
      <c r="AE50"/>
    </row>
    <row r="51" spans="1:31" s="53" customFormat="1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 s="158"/>
      <c r="V51"/>
      <c r="W51" s="157"/>
      <c r="X51" s="157"/>
      <c r="Y51" s="157"/>
      <c r="AB51"/>
      <c r="AC51"/>
      <c r="AD51"/>
      <c r="AE51"/>
    </row>
    <row r="52" spans="1:31" s="53" customFormat="1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 s="158"/>
      <c r="V52"/>
      <c r="W52" s="157"/>
      <c r="X52" s="157"/>
      <c r="Y52" s="157"/>
      <c r="AB52"/>
      <c r="AC52"/>
      <c r="AD52"/>
      <c r="AE52"/>
    </row>
    <row r="53" spans="1:31" s="53" customFormat="1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 s="158"/>
      <c r="V53"/>
      <c r="W53" s="157"/>
      <c r="X53" s="157"/>
      <c r="Y53" s="157"/>
      <c r="AB53"/>
      <c r="AC53"/>
      <c r="AD53"/>
      <c r="AE53"/>
    </row>
    <row r="54" spans="1:31" s="53" customFormat="1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 s="158"/>
      <c r="V54"/>
      <c r="W54" s="157"/>
      <c r="X54" s="157"/>
      <c r="Y54" s="157"/>
      <c r="AB54"/>
      <c r="AC54"/>
      <c r="AD54"/>
      <c r="AE54"/>
    </row>
    <row r="55" spans="1:31" s="53" customFormat="1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 s="158"/>
      <c r="V55"/>
      <c r="W55" s="157"/>
      <c r="X55" s="157"/>
      <c r="Y55" s="157"/>
      <c r="AB55"/>
      <c r="AC55"/>
      <c r="AD55"/>
      <c r="AE55"/>
    </row>
    <row r="56" spans="1:31" s="53" customFormat="1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 s="158"/>
      <c r="V56"/>
      <c r="W56" s="157"/>
      <c r="X56" s="157"/>
      <c r="Y56" s="157"/>
      <c r="AB56"/>
      <c r="AC56"/>
      <c r="AD56"/>
      <c r="AE56"/>
    </row>
    <row r="57" spans="1:31" s="53" customFormat="1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 s="158"/>
      <c r="V57"/>
      <c r="W57" s="157"/>
      <c r="X57" s="157"/>
      <c r="Y57" s="157"/>
      <c r="AB57"/>
      <c r="AC57"/>
      <c r="AD57"/>
      <c r="AE57"/>
    </row>
    <row r="58" spans="1:31" s="53" customFormat="1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 s="158"/>
      <c r="V58"/>
      <c r="W58" s="157"/>
      <c r="X58" s="157"/>
      <c r="Y58" s="157"/>
      <c r="AB58"/>
      <c r="AC58"/>
      <c r="AD58"/>
      <c r="AE58"/>
    </row>
    <row r="59" spans="1:31" s="53" customFormat="1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 s="157"/>
      <c r="X59" s="157"/>
      <c r="Y59" s="157"/>
      <c r="AB59"/>
      <c r="AC59"/>
      <c r="AD59"/>
      <c r="AE59"/>
    </row>
  </sheetData>
  <mergeCells count="16">
    <mergeCell ref="U24:X24"/>
    <mergeCell ref="T6:T7"/>
    <mergeCell ref="U6:X6"/>
    <mergeCell ref="Y6:Y7"/>
    <mergeCell ref="Z6:Z7"/>
    <mergeCell ref="U20:X20"/>
    <mergeCell ref="U22:X22"/>
    <mergeCell ref="B3:Y3"/>
    <mergeCell ref="U5:X5"/>
    <mergeCell ref="B6:B7"/>
    <mergeCell ref="C6:C7"/>
    <mergeCell ref="D6:D7"/>
    <mergeCell ref="E6:E7"/>
    <mergeCell ref="F6:Q6"/>
    <mergeCell ref="R6:R7"/>
    <mergeCell ref="S6:S7"/>
  </mergeCells>
  <pageMargins left="0.51181102362204722" right="0.11811023622047245" top="0.35433070866141736" bottom="0.55118110236220474" header="0.31496062992125984" footer="0.31496062992125984"/>
  <pageSetup scale="60" orientation="landscape" verticalDpi="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F91"/>
  <sheetViews>
    <sheetView workbookViewId="0"/>
  </sheetViews>
  <sheetFormatPr baseColWidth="10" defaultRowHeight="14.4"/>
  <cols>
    <col min="1" max="1" width="4.89453125" customWidth="1"/>
    <col min="2" max="2" width="30.41796875" customWidth="1"/>
    <col min="3" max="3" width="5.41796875" customWidth="1"/>
    <col min="4" max="5" width="7.41796875" customWidth="1"/>
    <col min="6" max="6" width="9.5234375" customWidth="1"/>
    <col min="7" max="8" width="4.89453125" customWidth="1"/>
    <col min="9" max="18" width="4.5234375" customWidth="1"/>
    <col min="19" max="20" width="7.5234375" customWidth="1"/>
    <col min="21" max="21" width="14" customWidth="1"/>
    <col min="22" max="22" width="13.41796875" customWidth="1"/>
    <col min="23" max="23" width="11.5234375" customWidth="1"/>
    <col min="24" max="24" width="11.68359375" customWidth="1"/>
    <col min="25" max="25" width="12.41796875" customWidth="1"/>
    <col min="26" max="26" width="17.3125" customWidth="1"/>
    <col min="27" max="27" width="17.3125" style="53" customWidth="1"/>
    <col min="28" max="28" width="15.5234375" style="53" customWidth="1"/>
  </cols>
  <sheetData>
    <row r="2" spans="2:28" s="1" customFormat="1" ht="51" customHeight="1">
      <c r="B2" s="337" t="s">
        <v>166</v>
      </c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337"/>
      <c r="P2" s="337"/>
      <c r="Q2" s="337"/>
      <c r="R2" s="337"/>
      <c r="S2" s="337"/>
      <c r="T2" s="337"/>
      <c r="U2" s="337"/>
      <c r="V2" s="337"/>
      <c r="W2" s="337"/>
      <c r="X2" s="337"/>
      <c r="Y2" s="337"/>
      <c r="Z2" s="337"/>
      <c r="AA2" s="56"/>
      <c r="AB2" s="56"/>
    </row>
    <row r="3" spans="2:28" s="1" customFormat="1">
      <c r="B3" s="2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AA3" s="56"/>
      <c r="AB3" s="56"/>
    </row>
    <row r="4" spans="2:28" s="1" customFormat="1">
      <c r="B4" s="4"/>
      <c r="C4" s="5"/>
      <c r="D4" s="5"/>
      <c r="E4" s="5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6"/>
      <c r="V4" s="338"/>
      <c r="W4" s="338"/>
      <c r="X4" s="338"/>
      <c r="Y4" s="338"/>
      <c r="AA4" s="56"/>
      <c r="AB4" s="56"/>
    </row>
    <row r="5" spans="2:28" s="1" customFormat="1" ht="13.35" customHeight="1">
      <c r="B5" s="332" t="s">
        <v>1</v>
      </c>
      <c r="C5" s="332" t="s">
        <v>2</v>
      </c>
      <c r="D5" s="339" t="s">
        <v>3</v>
      </c>
      <c r="E5" s="333" t="s">
        <v>4</v>
      </c>
      <c r="F5" s="332" t="s">
        <v>5</v>
      </c>
      <c r="G5" s="341" t="s">
        <v>6</v>
      </c>
      <c r="H5" s="342"/>
      <c r="I5" s="342"/>
      <c r="J5" s="342"/>
      <c r="K5" s="342"/>
      <c r="L5" s="342"/>
      <c r="M5" s="342"/>
      <c r="N5" s="342"/>
      <c r="O5" s="342"/>
      <c r="P5" s="342"/>
      <c r="Q5" s="342"/>
      <c r="R5" s="343"/>
      <c r="S5" s="332" t="s">
        <v>7</v>
      </c>
      <c r="T5" s="339" t="s">
        <v>8</v>
      </c>
      <c r="U5" s="332" t="s">
        <v>9</v>
      </c>
      <c r="V5" s="333" t="s">
        <v>10</v>
      </c>
      <c r="W5" s="333"/>
      <c r="X5" s="333"/>
      <c r="Y5" s="333"/>
      <c r="Z5" s="334" t="s">
        <v>50</v>
      </c>
      <c r="AA5" s="335" t="s">
        <v>51</v>
      </c>
      <c r="AB5" s="56"/>
    </row>
    <row r="6" spans="2:28" s="1" customFormat="1" ht="24.75" customHeight="1">
      <c r="B6" s="332"/>
      <c r="C6" s="332"/>
      <c r="D6" s="340"/>
      <c r="E6" s="333"/>
      <c r="F6" s="332"/>
      <c r="G6" s="135" t="s">
        <v>11</v>
      </c>
      <c r="H6" s="136" t="s">
        <v>12</v>
      </c>
      <c r="I6" s="136" t="s">
        <v>13</v>
      </c>
      <c r="J6" s="136" t="s">
        <v>14</v>
      </c>
      <c r="K6" s="136" t="s">
        <v>15</v>
      </c>
      <c r="L6" s="136" t="s">
        <v>16</v>
      </c>
      <c r="M6" s="136" t="s">
        <v>17</v>
      </c>
      <c r="N6" s="136" t="s">
        <v>18</v>
      </c>
      <c r="O6" s="136" t="s">
        <v>19</v>
      </c>
      <c r="P6" s="136" t="s">
        <v>20</v>
      </c>
      <c r="Q6" s="136" t="s">
        <v>21</v>
      </c>
      <c r="R6" s="136" t="s">
        <v>22</v>
      </c>
      <c r="S6" s="332"/>
      <c r="T6" s="340"/>
      <c r="U6" s="332"/>
      <c r="V6" s="137" t="s">
        <v>23</v>
      </c>
      <c r="W6" s="138" t="s">
        <v>24</v>
      </c>
      <c r="X6" s="138" t="s">
        <v>25</v>
      </c>
      <c r="Y6" s="138" t="s">
        <v>26</v>
      </c>
      <c r="Z6" s="334"/>
      <c r="AA6" s="335"/>
      <c r="AB6" s="56"/>
    </row>
    <row r="7" spans="2:28" s="1" customFormat="1">
      <c r="B7" s="4"/>
      <c r="C7" s="5"/>
      <c r="D7" s="5"/>
      <c r="E7" s="5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6"/>
      <c r="V7" s="6"/>
      <c r="W7" s="6"/>
      <c r="X7" s="6"/>
      <c r="Y7" s="6"/>
      <c r="Z7" s="8"/>
      <c r="AA7" s="56"/>
      <c r="AB7" s="56"/>
    </row>
    <row r="8" spans="2:28" s="1" customFormat="1" ht="22.5" customHeight="1">
      <c r="B8" s="139" t="s">
        <v>27</v>
      </c>
      <c r="C8" s="140"/>
      <c r="D8" s="140"/>
      <c r="E8" s="140"/>
      <c r="F8" s="141"/>
      <c r="G8" s="141"/>
      <c r="H8" s="141"/>
      <c r="I8" s="141"/>
      <c r="J8" s="141"/>
      <c r="K8" s="141"/>
      <c r="L8" s="141"/>
      <c r="M8" s="141"/>
      <c r="N8" s="141"/>
      <c r="O8" s="141"/>
      <c r="P8" s="141"/>
      <c r="Q8" s="141"/>
      <c r="R8" s="141"/>
      <c r="S8" s="141"/>
      <c r="T8" s="141"/>
      <c r="U8" s="141"/>
      <c r="V8" s="141"/>
      <c r="W8" s="141"/>
      <c r="X8" s="141"/>
      <c r="Y8" s="141"/>
      <c r="Z8" s="142"/>
      <c r="AA8" s="56"/>
      <c r="AB8" s="56"/>
    </row>
    <row r="9" spans="2:28" s="1" customFormat="1">
      <c r="B9" s="9"/>
      <c r="C9" s="10"/>
      <c r="D9" s="10"/>
      <c r="E9" s="10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2"/>
      <c r="AA9" s="56"/>
      <c r="AB9" s="56"/>
    </row>
    <row r="10" spans="2:28" s="1" customFormat="1">
      <c r="B10" s="13" t="s">
        <v>28</v>
      </c>
      <c r="C10" s="14" t="s">
        <v>29</v>
      </c>
      <c r="D10" s="14">
        <v>2022</v>
      </c>
      <c r="E10" s="15" t="s">
        <v>30</v>
      </c>
      <c r="F10" s="16">
        <v>18987</v>
      </c>
      <c r="G10" s="17">
        <v>30</v>
      </c>
      <c r="H10" s="17">
        <v>30</v>
      </c>
      <c r="I10" s="17">
        <v>30</v>
      </c>
      <c r="J10" s="17">
        <v>30</v>
      </c>
      <c r="K10" s="17">
        <v>30</v>
      </c>
      <c r="L10" s="17">
        <v>30</v>
      </c>
      <c r="M10" s="17">
        <v>30</v>
      </c>
      <c r="N10" s="17">
        <v>30</v>
      </c>
      <c r="O10" s="17">
        <v>30</v>
      </c>
      <c r="P10" s="17">
        <v>30</v>
      </c>
      <c r="Q10" s="17">
        <v>30</v>
      </c>
      <c r="R10" s="17">
        <v>30</v>
      </c>
      <c r="S10" s="15">
        <f>SUM(G10:R10)</f>
        <v>360</v>
      </c>
      <c r="T10" s="18">
        <f>+S10/30</f>
        <v>12</v>
      </c>
      <c r="U10" s="16">
        <f>ROUND(PRODUCT(F10*T10),0)</f>
        <v>227844</v>
      </c>
      <c r="V10" s="16">
        <f>U10*0.1</f>
        <v>22784.400000000001</v>
      </c>
      <c r="W10" s="16">
        <f>U10*0.0171</f>
        <v>3896.1324</v>
      </c>
      <c r="X10" s="16">
        <f>U10*0.03</f>
        <v>6835.32</v>
      </c>
      <c r="Y10" s="19">
        <f>U10*0.02</f>
        <v>4556.88</v>
      </c>
      <c r="Z10" s="17">
        <f>SUM(U10:Y10)</f>
        <v>265916.73239999998</v>
      </c>
      <c r="AA10" s="56">
        <f>+F10*S10/360</f>
        <v>18987</v>
      </c>
      <c r="AB10" s="56">
        <f t="shared" ref="AB10:AB17" si="0">+AA10+Z10</f>
        <v>284903.73239999998</v>
      </c>
    </row>
    <row r="11" spans="2:28" s="1" customFormat="1" ht="25.5" customHeight="1">
      <c r="B11" s="143" t="s">
        <v>31</v>
      </c>
      <c r="C11" s="144"/>
      <c r="D11" s="144"/>
      <c r="E11" s="145"/>
      <c r="F11" s="146"/>
      <c r="G11" s="146"/>
      <c r="H11" s="146"/>
      <c r="I11" s="146"/>
      <c r="J11" s="146"/>
      <c r="K11" s="146"/>
      <c r="L11" s="146"/>
      <c r="M11" s="146"/>
      <c r="N11" s="146"/>
      <c r="O11" s="146"/>
      <c r="P11" s="146"/>
      <c r="Q11" s="146"/>
      <c r="R11" s="146"/>
      <c r="S11" s="145"/>
      <c r="T11" s="147"/>
      <c r="U11" s="148"/>
      <c r="V11" s="149"/>
      <c r="W11" s="149"/>
      <c r="X11" s="149"/>
      <c r="Y11" s="150"/>
      <c r="Z11" s="149"/>
      <c r="AA11" s="56"/>
      <c r="AB11" s="56">
        <f t="shared" si="0"/>
        <v>0</v>
      </c>
    </row>
    <row r="12" spans="2:28" s="166" customFormat="1" ht="20.399999999999999">
      <c r="B12" s="13" t="s">
        <v>241</v>
      </c>
      <c r="C12" s="14" t="s">
        <v>32</v>
      </c>
      <c r="D12" s="14">
        <v>2022</v>
      </c>
      <c r="E12" s="15" t="s">
        <v>30</v>
      </c>
      <c r="F12" s="16">
        <v>9906</v>
      </c>
      <c r="G12" s="17">
        <v>26</v>
      </c>
      <c r="H12" s="17">
        <v>30</v>
      </c>
      <c r="I12" s="17">
        <v>30</v>
      </c>
      <c r="J12" s="17">
        <v>30</v>
      </c>
      <c r="K12" s="17">
        <v>30</v>
      </c>
      <c r="L12" s="17">
        <v>30</v>
      </c>
      <c r="M12" s="17"/>
      <c r="N12" s="17"/>
      <c r="O12" s="17"/>
      <c r="P12" s="17"/>
      <c r="Q12" s="17"/>
      <c r="R12" s="17"/>
      <c r="S12" s="15">
        <f>SUM(G12:R12)</f>
        <v>176</v>
      </c>
      <c r="T12" s="18">
        <f>+S12/30</f>
        <v>5.8666666666666663</v>
      </c>
      <c r="U12" s="16">
        <f>ROUND(PRODUCT(F12*T12),0)</f>
        <v>58115</v>
      </c>
      <c r="V12" s="17">
        <f>U12*0.1</f>
        <v>5811.5</v>
      </c>
      <c r="W12" s="17">
        <f>U12*0.0171</f>
        <v>993.76650000000006</v>
      </c>
      <c r="X12" s="17">
        <f>U12*0.03</f>
        <v>1743.45</v>
      </c>
      <c r="Y12" s="19">
        <f>U12*0.02</f>
        <v>1162.3</v>
      </c>
      <c r="Z12" s="17">
        <f>SUM(U12:Y12)</f>
        <v>67826.016499999998</v>
      </c>
      <c r="AA12" s="167">
        <f>+F12*S12/360</f>
        <v>4842.9333333333334</v>
      </c>
      <c r="AB12" s="167">
        <f t="shared" si="0"/>
        <v>72668.949833333332</v>
      </c>
    </row>
    <row r="13" spans="2:28" s="1" customFormat="1" ht="21" customHeight="1">
      <c r="B13" s="13" t="s">
        <v>242</v>
      </c>
      <c r="C13" s="14" t="s">
        <v>32</v>
      </c>
      <c r="D13" s="14">
        <v>2022</v>
      </c>
      <c r="E13" s="15" t="s">
        <v>30</v>
      </c>
      <c r="F13" s="29">
        <v>4416</v>
      </c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5">
        <f>SUM(G13:R13)</f>
        <v>0</v>
      </c>
      <c r="T13" s="18">
        <f>+S13/30</f>
        <v>0</v>
      </c>
      <c r="U13" s="16">
        <f>ROUND(PRODUCT(F13*T13),0)</f>
        <v>0</v>
      </c>
      <c r="V13" s="17">
        <f>U13*0.1</f>
        <v>0</v>
      </c>
      <c r="W13" s="17">
        <f>U13*0.0171</f>
        <v>0</v>
      </c>
      <c r="X13" s="17">
        <f>U13*0.03</f>
        <v>0</v>
      </c>
      <c r="Y13" s="19">
        <f>U13*0.02</f>
        <v>0</v>
      </c>
      <c r="Z13" s="17">
        <f>SUM(U13:Y13)</f>
        <v>0</v>
      </c>
      <c r="AA13" s="167">
        <v>0</v>
      </c>
      <c r="AB13" s="56">
        <f t="shared" si="0"/>
        <v>0</v>
      </c>
    </row>
    <row r="14" spans="2:28" s="1" customFormat="1" ht="30.75" customHeight="1">
      <c r="B14" s="13" t="s">
        <v>219</v>
      </c>
      <c r="C14" s="14" t="s">
        <v>32</v>
      </c>
      <c r="D14" s="14">
        <v>2022</v>
      </c>
      <c r="E14" s="15" t="s">
        <v>30</v>
      </c>
      <c r="F14" s="16">
        <v>4416</v>
      </c>
      <c r="G14" s="17"/>
      <c r="H14" s="17">
        <v>30</v>
      </c>
      <c r="I14" s="17">
        <v>30</v>
      </c>
      <c r="J14" s="17">
        <v>30</v>
      </c>
      <c r="K14" s="17">
        <v>30</v>
      </c>
      <c r="L14" s="17">
        <v>30</v>
      </c>
      <c r="M14" s="17">
        <v>30</v>
      </c>
      <c r="N14" s="17">
        <v>30</v>
      </c>
      <c r="O14" s="17">
        <v>30</v>
      </c>
      <c r="P14" s="17">
        <v>30</v>
      </c>
      <c r="Q14" s="17">
        <v>30</v>
      </c>
      <c r="R14" s="17">
        <v>30</v>
      </c>
      <c r="S14" s="15">
        <f>SUM(G14:R14)</f>
        <v>330</v>
      </c>
      <c r="T14" s="18">
        <f>+S14/30</f>
        <v>11</v>
      </c>
      <c r="U14" s="16">
        <f>ROUND(PRODUCT(F14*T14),0)</f>
        <v>48576</v>
      </c>
      <c r="V14" s="17">
        <f>U14*0.1</f>
        <v>4857.6000000000004</v>
      </c>
      <c r="W14" s="17">
        <f>U14*0.0171</f>
        <v>830.64960000000008</v>
      </c>
      <c r="X14" s="17">
        <f>U14*0.03</f>
        <v>1457.28</v>
      </c>
      <c r="Y14" s="19">
        <f>U14*0.02</f>
        <v>971.52</v>
      </c>
      <c r="Z14" s="17">
        <f>SUM(U14:Y14)</f>
        <v>56693.049599999991</v>
      </c>
      <c r="AA14" s="167">
        <f>+F14*S14/360</f>
        <v>4048</v>
      </c>
      <c r="AB14" s="56">
        <f t="shared" si="0"/>
        <v>60741.049599999991</v>
      </c>
    </row>
    <row r="15" spans="2:28" s="1" customFormat="1">
      <c r="B15" s="13" t="s">
        <v>220</v>
      </c>
      <c r="C15" s="27" t="s">
        <v>32</v>
      </c>
      <c r="D15" s="14">
        <v>2022</v>
      </c>
      <c r="E15" s="28" t="s">
        <v>30</v>
      </c>
      <c r="F15" s="29">
        <v>5550</v>
      </c>
      <c r="G15" s="30"/>
      <c r="H15" s="30">
        <v>30</v>
      </c>
      <c r="I15" s="30">
        <v>30</v>
      </c>
      <c r="J15" s="30">
        <v>30</v>
      </c>
      <c r="K15" s="30"/>
      <c r="L15" s="30"/>
      <c r="M15" s="30"/>
      <c r="N15" s="30"/>
      <c r="O15" s="30"/>
      <c r="P15" s="30"/>
      <c r="Q15" s="30"/>
      <c r="R15" s="30"/>
      <c r="S15" s="15">
        <f>SUM(G15:R15)</f>
        <v>90</v>
      </c>
      <c r="T15" s="18">
        <f>+S15/30</f>
        <v>3</v>
      </c>
      <c r="U15" s="16">
        <f>ROUND(PRODUCT(F15*T15),0)</f>
        <v>16650</v>
      </c>
      <c r="V15" s="17">
        <f>U15*0.1</f>
        <v>1665</v>
      </c>
      <c r="W15" s="17">
        <f>U15*0.0171</f>
        <v>284.71500000000003</v>
      </c>
      <c r="X15" s="17">
        <f>U15*0.03</f>
        <v>499.5</v>
      </c>
      <c r="Y15" s="19">
        <f>U15*0.02</f>
        <v>333</v>
      </c>
      <c r="Z15" s="17">
        <f>SUM(U15:Y15)</f>
        <v>19432.215</v>
      </c>
      <c r="AA15" s="167">
        <f>+F15*S15/360</f>
        <v>1387.5</v>
      </c>
      <c r="AB15" s="56">
        <f t="shared" si="0"/>
        <v>20819.715</v>
      </c>
    </row>
    <row r="16" spans="2:28" s="1" customFormat="1" ht="23.25" customHeight="1">
      <c r="B16" s="151" t="s">
        <v>34</v>
      </c>
      <c r="C16" s="152"/>
      <c r="D16" s="152"/>
      <c r="E16" s="152"/>
      <c r="F16" s="152"/>
      <c r="G16" s="152"/>
      <c r="H16" s="152"/>
      <c r="I16" s="152"/>
      <c r="J16" s="152"/>
      <c r="K16" s="152"/>
      <c r="L16" s="152"/>
      <c r="M16" s="152"/>
      <c r="N16" s="152"/>
      <c r="O16" s="152"/>
      <c r="P16" s="152"/>
      <c r="Q16" s="152"/>
      <c r="R16" s="152"/>
      <c r="S16" s="152"/>
      <c r="T16" s="147"/>
      <c r="U16" s="148"/>
      <c r="V16" s="152"/>
      <c r="W16" s="152"/>
      <c r="X16" s="152"/>
      <c r="Y16" s="152"/>
      <c r="Z16" s="149"/>
      <c r="AA16" s="56"/>
      <c r="AB16" s="56">
        <f t="shared" si="0"/>
        <v>0</v>
      </c>
    </row>
    <row r="17" spans="2:28" s="1" customFormat="1">
      <c r="B17" s="13" t="s">
        <v>221</v>
      </c>
      <c r="C17" s="14" t="s">
        <v>32</v>
      </c>
      <c r="D17" s="14">
        <v>2022</v>
      </c>
      <c r="E17" s="15" t="s">
        <v>30</v>
      </c>
      <c r="F17" s="29">
        <v>8175</v>
      </c>
      <c r="G17" s="17">
        <v>26</v>
      </c>
      <c r="H17" s="17">
        <v>30</v>
      </c>
      <c r="I17" s="17">
        <v>30</v>
      </c>
      <c r="J17" s="17"/>
      <c r="K17" s="17"/>
      <c r="L17" s="17"/>
      <c r="M17" s="17"/>
      <c r="N17" s="17"/>
      <c r="O17" s="17"/>
      <c r="P17" s="17"/>
      <c r="Q17" s="17">
        <v>30</v>
      </c>
      <c r="R17" s="17">
        <v>30</v>
      </c>
      <c r="S17" s="15">
        <f>SUM(G17:R17)</f>
        <v>146</v>
      </c>
      <c r="T17" s="18">
        <f>+S17/30</f>
        <v>4.8666666666666663</v>
      </c>
      <c r="U17" s="16">
        <f>ROUND(PRODUCT(F17*T17),0)</f>
        <v>39785</v>
      </c>
      <c r="V17" s="17">
        <f>U17*0.1</f>
        <v>3978.5</v>
      </c>
      <c r="W17" s="17">
        <f>U17*0.0171</f>
        <v>680.32350000000008</v>
      </c>
      <c r="X17" s="17">
        <f>U17*0.03</f>
        <v>1193.55</v>
      </c>
      <c r="Y17" s="19">
        <f>U17*0.02</f>
        <v>795.7</v>
      </c>
      <c r="Z17" s="17">
        <f>SUM(U17:Y17)</f>
        <v>46433.073499999999</v>
      </c>
      <c r="AA17" s="167">
        <v>0</v>
      </c>
      <c r="AB17" s="56">
        <f t="shared" si="0"/>
        <v>46433.073499999999</v>
      </c>
    </row>
    <row r="18" spans="2:28" s="1" customFormat="1" ht="31.5" customHeight="1">
      <c r="B18" s="143" t="s">
        <v>167</v>
      </c>
      <c r="C18" s="144"/>
      <c r="D18" s="144"/>
      <c r="E18" s="145"/>
      <c r="F18" s="146"/>
      <c r="G18" s="149"/>
      <c r="H18" s="149"/>
      <c r="I18" s="149"/>
      <c r="J18" s="149"/>
      <c r="K18" s="149"/>
      <c r="L18" s="149"/>
      <c r="M18" s="149"/>
      <c r="N18" s="149"/>
      <c r="O18" s="149"/>
      <c r="P18" s="149"/>
      <c r="Q18" s="149"/>
      <c r="R18" s="149"/>
      <c r="S18" s="145"/>
      <c r="T18" s="147"/>
      <c r="U18" s="146"/>
      <c r="V18" s="149"/>
      <c r="W18" s="149"/>
      <c r="X18" s="149"/>
      <c r="Y18" s="150"/>
      <c r="Z18" s="149"/>
      <c r="AA18" s="56"/>
      <c r="AB18" s="56"/>
    </row>
    <row r="19" spans="2:28" s="1" customFormat="1" ht="26.25" customHeight="1">
      <c r="B19" s="13" t="s">
        <v>222</v>
      </c>
      <c r="C19" s="14" t="s">
        <v>32</v>
      </c>
      <c r="D19" s="14">
        <v>2022</v>
      </c>
      <c r="E19" s="15" t="s">
        <v>30</v>
      </c>
      <c r="F19" s="16">
        <v>9906</v>
      </c>
      <c r="G19" s="17">
        <v>26</v>
      </c>
      <c r="H19" s="17">
        <v>30</v>
      </c>
      <c r="I19" s="17">
        <v>30</v>
      </c>
      <c r="J19" s="17">
        <v>30</v>
      </c>
      <c r="K19" s="17">
        <v>30</v>
      </c>
      <c r="L19" s="17">
        <v>30</v>
      </c>
      <c r="M19" s="17">
        <v>30</v>
      </c>
      <c r="N19" s="17">
        <v>30</v>
      </c>
      <c r="O19" s="17">
        <v>30</v>
      </c>
      <c r="P19" s="17">
        <v>30</v>
      </c>
      <c r="Q19" s="17">
        <v>30</v>
      </c>
      <c r="R19" s="17">
        <v>30</v>
      </c>
      <c r="S19" s="15">
        <f>SUM(G19:R19)</f>
        <v>356</v>
      </c>
      <c r="T19" s="18">
        <f>+S19/30</f>
        <v>11.866666666666667</v>
      </c>
      <c r="U19" s="16">
        <f>ROUND(PRODUCT(F19*T19),0)</f>
        <v>117551</v>
      </c>
      <c r="V19" s="17">
        <f>U19*0.1</f>
        <v>11755.1</v>
      </c>
      <c r="W19" s="17">
        <f>U19*0.0171</f>
        <v>2010.1221</v>
      </c>
      <c r="X19" s="17">
        <f>U19*0.03</f>
        <v>3526.5299999999997</v>
      </c>
      <c r="Y19" s="19">
        <f>U19*0.02</f>
        <v>2351.02</v>
      </c>
      <c r="Z19" s="17">
        <f>SUM(U19:Y19)</f>
        <v>137193.7721</v>
      </c>
      <c r="AA19" s="56">
        <f>+F19*S19/360</f>
        <v>9795.9333333333325</v>
      </c>
      <c r="AB19" s="56">
        <f>+AA19+Z19</f>
        <v>146989.70543333332</v>
      </c>
    </row>
    <row r="20" spans="2:28" s="173" customFormat="1" ht="26.25" customHeight="1">
      <c r="B20" s="13" t="s">
        <v>223</v>
      </c>
      <c r="C20" s="14" t="s">
        <v>32</v>
      </c>
      <c r="D20" s="14">
        <v>2022</v>
      </c>
      <c r="E20" s="15" t="s">
        <v>30</v>
      </c>
      <c r="F20" s="16">
        <v>5550</v>
      </c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5">
        <f>SUM(G20:R20)</f>
        <v>0</v>
      </c>
      <c r="T20" s="18">
        <f>+S20/30</f>
        <v>0</v>
      </c>
      <c r="U20" s="16">
        <f>ROUND(PRODUCT(F20*T20),0)</f>
        <v>0</v>
      </c>
      <c r="V20" s="17">
        <f>U20*0.1</f>
        <v>0</v>
      </c>
      <c r="W20" s="17">
        <f>U20*0.0171</f>
        <v>0</v>
      </c>
      <c r="X20" s="17">
        <f>U20*0.03</f>
        <v>0</v>
      </c>
      <c r="Y20" s="19">
        <f>U20*0.02</f>
        <v>0</v>
      </c>
      <c r="Z20" s="17">
        <f>SUM(U20:Y20)</f>
        <v>0</v>
      </c>
      <c r="AA20" s="174">
        <f>+F20*S20/360</f>
        <v>0</v>
      </c>
      <c r="AB20" s="174"/>
    </row>
    <row r="21" spans="2:28" s="173" customFormat="1" ht="26.25" customHeight="1">
      <c r="B21" s="13" t="s">
        <v>224</v>
      </c>
      <c r="C21" s="14" t="s">
        <v>32</v>
      </c>
      <c r="D21" s="14">
        <v>2022</v>
      </c>
      <c r="E21" s="15" t="s">
        <v>30</v>
      </c>
      <c r="F21" s="16">
        <v>5550</v>
      </c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5">
        <f>SUM(G21:R21)</f>
        <v>0</v>
      </c>
      <c r="T21" s="18">
        <f>+S21/30</f>
        <v>0</v>
      </c>
      <c r="U21" s="16">
        <f>ROUND(PRODUCT(F21*T21),0)</f>
        <v>0</v>
      </c>
      <c r="V21" s="17">
        <f>U21*0.1</f>
        <v>0</v>
      </c>
      <c r="W21" s="17">
        <f>U21*0.0171</f>
        <v>0</v>
      </c>
      <c r="X21" s="17">
        <f>U21*0.03</f>
        <v>0</v>
      </c>
      <c r="Y21" s="19">
        <f>U21*0.02</f>
        <v>0</v>
      </c>
      <c r="Z21" s="17">
        <f>SUM(U21:Y21)</f>
        <v>0</v>
      </c>
      <c r="AA21" s="174">
        <f>+F21*S21/360</f>
        <v>0</v>
      </c>
      <c r="AB21" s="174"/>
    </row>
    <row r="22" spans="2:28" s="173" customFormat="1" ht="26.25" customHeight="1">
      <c r="B22" s="13" t="s">
        <v>225</v>
      </c>
      <c r="C22" s="14" t="s">
        <v>32</v>
      </c>
      <c r="D22" s="14">
        <v>2022</v>
      </c>
      <c r="E22" s="15" t="s">
        <v>30</v>
      </c>
      <c r="F22" s="16">
        <v>5550</v>
      </c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5">
        <f>SUM(G22:R22)</f>
        <v>0</v>
      </c>
      <c r="T22" s="18">
        <f>+S22/30</f>
        <v>0</v>
      </c>
      <c r="U22" s="16">
        <f>ROUND(PRODUCT(F22*T22),0)</f>
        <v>0</v>
      </c>
      <c r="V22" s="17">
        <f>U22*0.1</f>
        <v>0</v>
      </c>
      <c r="W22" s="17">
        <f>U22*0.0171</f>
        <v>0</v>
      </c>
      <c r="X22" s="17">
        <f>U22*0.03</f>
        <v>0</v>
      </c>
      <c r="Y22" s="19">
        <f>U22*0.02</f>
        <v>0</v>
      </c>
      <c r="Z22" s="17">
        <f>SUM(U22:Y22)</f>
        <v>0</v>
      </c>
      <c r="AA22" s="174">
        <f>+F22*S22/360</f>
        <v>0</v>
      </c>
      <c r="AB22" s="174"/>
    </row>
    <row r="23" spans="2:28" s="173" customFormat="1" ht="26.25" customHeight="1">
      <c r="B23" s="13" t="s">
        <v>226</v>
      </c>
      <c r="C23" s="14" t="s">
        <v>32</v>
      </c>
      <c r="D23" s="14">
        <v>2022</v>
      </c>
      <c r="E23" s="15" t="s">
        <v>30</v>
      </c>
      <c r="F23" s="16">
        <v>5550</v>
      </c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5">
        <f>SUM(G23:R23)</f>
        <v>0</v>
      </c>
      <c r="T23" s="18">
        <f>+S23/30</f>
        <v>0</v>
      </c>
      <c r="U23" s="16">
        <f>ROUND(PRODUCT(F23*T23),0)</f>
        <v>0</v>
      </c>
      <c r="V23" s="17">
        <f>U23*0.1</f>
        <v>0</v>
      </c>
      <c r="W23" s="17">
        <f>U23*0.0171</f>
        <v>0</v>
      </c>
      <c r="X23" s="17">
        <f>U23*0.03</f>
        <v>0</v>
      </c>
      <c r="Y23" s="19">
        <f>U23*0.02</f>
        <v>0</v>
      </c>
      <c r="Z23" s="17">
        <f>SUM(U23:Y23)</f>
        <v>0</v>
      </c>
      <c r="AA23" s="174">
        <f>+F23*S23/360</f>
        <v>0</v>
      </c>
      <c r="AB23" s="174"/>
    </row>
    <row r="24" spans="2:28" s="1" customFormat="1" ht="32.25" customHeight="1">
      <c r="B24" s="143" t="s">
        <v>35</v>
      </c>
      <c r="C24" s="144"/>
      <c r="D24" s="144"/>
      <c r="E24" s="145"/>
      <c r="F24" s="146"/>
      <c r="G24" s="149"/>
      <c r="H24" s="146"/>
      <c r="I24" s="146"/>
      <c r="J24" s="146"/>
      <c r="K24" s="146"/>
      <c r="L24" s="146"/>
      <c r="M24" s="146"/>
      <c r="N24" s="146"/>
      <c r="O24" s="146"/>
      <c r="P24" s="146"/>
      <c r="Q24" s="146"/>
      <c r="R24" s="146"/>
      <c r="S24" s="145"/>
      <c r="T24" s="147"/>
      <c r="U24" s="148"/>
      <c r="V24" s="149"/>
      <c r="W24" s="149"/>
      <c r="X24" s="149"/>
      <c r="Y24" s="150"/>
      <c r="Z24" s="149"/>
      <c r="AA24" s="56"/>
      <c r="AB24" s="56">
        <f t="shared" ref="AB24:AB33" si="1">+AA24+Z24</f>
        <v>0</v>
      </c>
    </row>
    <row r="25" spans="2:28" s="1" customFormat="1" ht="26.25" customHeight="1">
      <c r="B25" s="13" t="s">
        <v>227</v>
      </c>
      <c r="C25" s="14" t="s">
        <v>32</v>
      </c>
      <c r="D25" s="14">
        <v>2022</v>
      </c>
      <c r="E25" s="15" t="s">
        <v>30</v>
      </c>
      <c r="F25" s="16">
        <v>9906</v>
      </c>
      <c r="G25" s="17">
        <v>26</v>
      </c>
      <c r="H25" s="17">
        <v>30</v>
      </c>
      <c r="I25" s="17">
        <v>30</v>
      </c>
      <c r="J25" s="17">
        <v>30</v>
      </c>
      <c r="K25" s="17">
        <v>30</v>
      </c>
      <c r="L25" s="17">
        <v>30</v>
      </c>
      <c r="M25" s="17">
        <v>30</v>
      </c>
      <c r="N25" s="17">
        <v>30</v>
      </c>
      <c r="O25" s="17">
        <v>30</v>
      </c>
      <c r="P25" s="17">
        <v>30</v>
      </c>
      <c r="Q25" s="17">
        <v>30</v>
      </c>
      <c r="R25" s="17">
        <v>30</v>
      </c>
      <c r="S25" s="15">
        <f t="shared" ref="S25:S30" si="2">SUM(G25:R25)</f>
        <v>356</v>
      </c>
      <c r="T25" s="18">
        <f t="shared" ref="T25:T30" si="3">+S25/30</f>
        <v>11.866666666666667</v>
      </c>
      <c r="U25" s="16">
        <f t="shared" ref="U25:U30" si="4">ROUND(PRODUCT(F25*T25),0)</f>
        <v>117551</v>
      </c>
      <c r="V25" s="17">
        <f t="shared" ref="V25:V30" si="5">U25*0.1</f>
        <v>11755.1</v>
      </c>
      <c r="W25" s="17">
        <f t="shared" ref="W25:W30" si="6">U25*0.0171</f>
        <v>2010.1221</v>
      </c>
      <c r="X25" s="17">
        <f t="shared" ref="X25:X30" si="7">U25*0.03</f>
        <v>3526.5299999999997</v>
      </c>
      <c r="Y25" s="19">
        <f t="shared" ref="Y25:Y30" si="8">U25*0.02</f>
        <v>2351.02</v>
      </c>
      <c r="Z25" s="17">
        <f t="shared" ref="Z25:Z30" si="9">SUM(U25:Y25)</f>
        <v>137193.7721</v>
      </c>
      <c r="AA25" s="56">
        <f>+F25*S25/360</f>
        <v>9795.9333333333325</v>
      </c>
      <c r="AB25" s="56">
        <f t="shared" si="1"/>
        <v>146989.70543333332</v>
      </c>
    </row>
    <row r="26" spans="2:28" s="1" customFormat="1" ht="29.25" customHeight="1">
      <c r="B26" s="13" t="s">
        <v>36</v>
      </c>
      <c r="C26" s="14" t="s">
        <v>32</v>
      </c>
      <c r="D26" s="14">
        <v>2022</v>
      </c>
      <c r="E26" s="15" t="s">
        <v>30</v>
      </c>
      <c r="F26" s="16">
        <v>8175</v>
      </c>
      <c r="G26" s="17"/>
      <c r="H26" s="17">
        <v>29</v>
      </c>
      <c r="I26" s="17">
        <v>30</v>
      </c>
      <c r="J26" s="17">
        <v>30</v>
      </c>
      <c r="K26" s="17">
        <v>30</v>
      </c>
      <c r="L26" s="17">
        <v>30</v>
      </c>
      <c r="M26" s="17">
        <v>30</v>
      </c>
      <c r="N26" s="17">
        <v>30</v>
      </c>
      <c r="O26" s="17">
        <v>30</v>
      </c>
      <c r="P26" s="17">
        <v>30</v>
      </c>
      <c r="Q26" s="17">
        <v>30</v>
      </c>
      <c r="R26" s="17">
        <v>30</v>
      </c>
      <c r="S26" s="15">
        <f t="shared" si="2"/>
        <v>329</v>
      </c>
      <c r="T26" s="18">
        <f t="shared" si="3"/>
        <v>10.966666666666667</v>
      </c>
      <c r="U26" s="16">
        <f t="shared" si="4"/>
        <v>89653</v>
      </c>
      <c r="V26" s="17">
        <f t="shared" si="5"/>
        <v>8965.3000000000011</v>
      </c>
      <c r="W26" s="17">
        <f t="shared" si="6"/>
        <v>1533.0663</v>
      </c>
      <c r="X26" s="17">
        <f t="shared" si="7"/>
        <v>2689.5899999999997</v>
      </c>
      <c r="Y26" s="19">
        <f t="shared" si="8"/>
        <v>1793.06</v>
      </c>
      <c r="Z26" s="17">
        <f t="shared" si="9"/>
        <v>104634.0163</v>
      </c>
      <c r="AA26" s="56">
        <f>+F26*S26/360</f>
        <v>7471.041666666667</v>
      </c>
      <c r="AB26" s="56">
        <f t="shared" si="1"/>
        <v>112105.05796666667</v>
      </c>
    </row>
    <row r="27" spans="2:28" s="1" customFormat="1" ht="20.25" customHeight="1">
      <c r="B27" s="13" t="s">
        <v>228</v>
      </c>
      <c r="C27" s="14" t="s">
        <v>32</v>
      </c>
      <c r="D27" s="14">
        <v>2022</v>
      </c>
      <c r="E27" s="15" t="s">
        <v>30</v>
      </c>
      <c r="F27" s="16">
        <v>4416</v>
      </c>
      <c r="G27" s="17"/>
      <c r="H27" s="17"/>
      <c r="I27" s="17"/>
      <c r="J27" s="30"/>
      <c r="K27" s="30"/>
      <c r="L27" s="30"/>
      <c r="M27" s="17"/>
      <c r="N27" s="17"/>
      <c r="O27" s="17"/>
      <c r="P27" s="17"/>
      <c r="Q27" s="17"/>
      <c r="R27" s="17"/>
      <c r="S27" s="15">
        <f t="shared" si="2"/>
        <v>0</v>
      </c>
      <c r="T27" s="18">
        <f t="shared" si="3"/>
        <v>0</v>
      </c>
      <c r="U27" s="16">
        <f t="shared" si="4"/>
        <v>0</v>
      </c>
      <c r="V27" s="17">
        <f t="shared" si="5"/>
        <v>0</v>
      </c>
      <c r="W27" s="17">
        <f t="shared" si="6"/>
        <v>0</v>
      </c>
      <c r="X27" s="17">
        <f t="shared" si="7"/>
        <v>0</v>
      </c>
      <c r="Y27" s="19">
        <f t="shared" si="8"/>
        <v>0</v>
      </c>
      <c r="Z27" s="17">
        <f t="shared" si="9"/>
        <v>0</v>
      </c>
      <c r="AA27" s="56">
        <f>+F27*S27/360</f>
        <v>0</v>
      </c>
      <c r="AB27" s="56">
        <f t="shared" si="1"/>
        <v>0</v>
      </c>
    </row>
    <row r="28" spans="2:28" s="1" customFormat="1" ht="20.25" customHeight="1">
      <c r="B28" s="13" t="s">
        <v>201</v>
      </c>
      <c r="C28" s="14" t="s">
        <v>32</v>
      </c>
      <c r="D28" s="14">
        <v>2022</v>
      </c>
      <c r="E28" s="15" t="s">
        <v>30</v>
      </c>
      <c r="F28" s="16">
        <v>3640</v>
      </c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5">
        <f t="shared" si="2"/>
        <v>0</v>
      </c>
      <c r="T28" s="18">
        <f t="shared" si="3"/>
        <v>0</v>
      </c>
      <c r="U28" s="16">
        <f t="shared" si="4"/>
        <v>0</v>
      </c>
      <c r="V28" s="17">
        <f>U28*0.1</f>
        <v>0</v>
      </c>
      <c r="W28" s="17">
        <f>U28*0.0171</f>
        <v>0</v>
      </c>
      <c r="X28" s="17">
        <f>U28*0.03</f>
        <v>0</v>
      </c>
      <c r="Y28" s="19">
        <f>U28*0.02</f>
        <v>0</v>
      </c>
      <c r="Z28" s="17">
        <f>SUM(U28:Y28)</f>
        <v>0</v>
      </c>
      <c r="AA28" s="56">
        <f>+F28*S28/360</f>
        <v>0</v>
      </c>
      <c r="AB28" s="56">
        <f t="shared" si="1"/>
        <v>0</v>
      </c>
    </row>
    <row r="29" spans="2:28" s="1" customFormat="1" ht="23.25" customHeight="1">
      <c r="B29" s="13" t="s">
        <v>232</v>
      </c>
      <c r="C29" s="14" t="s">
        <v>32</v>
      </c>
      <c r="D29" s="14">
        <v>2022</v>
      </c>
      <c r="E29" s="15" t="s">
        <v>30</v>
      </c>
      <c r="F29" s="16">
        <v>3640</v>
      </c>
      <c r="G29" s="17">
        <v>26</v>
      </c>
      <c r="H29" s="17">
        <v>30</v>
      </c>
      <c r="I29" s="17">
        <v>30</v>
      </c>
      <c r="J29" s="17">
        <v>30</v>
      </c>
      <c r="K29" s="17">
        <v>30</v>
      </c>
      <c r="L29" s="17">
        <v>30</v>
      </c>
      <c r="M29" s="17">
        <v>30</v>
      </c>
      <c r="N29" s="17">
        <v>30</v>
      </c>
      <c r="O29" s="17">
        <v>30</v>
      </c>
      <c r="P29" s="17">
        <v>30</v>
      </c>
      <c r="Q29" s="17">
        <v>30</v>
      </c>
      <c r="R29" s="17">
        <v>30</v>
      </c>
      <c r="S29" s="15">
        <f t="shared" si="2"/>
        <v>356</v>
      </c>
      <c r="T29" s="18">
        <f t="shared" si="3"/>
        <v>11.866666666666667</v>
      </c>
      <c r="U29" s="16">
        <f t="shared" si="4"/>
        <v>43195</v>
      </c>
      <c r="V29" s="17">
        <f t="shared" si="5"/>
        <v>4319.5</v>
      </c>
      <c r="W29" s="17">
        <f t="shared" si="6"/>
        <v>738.6345</v>
      </c>
      <c r="X29" s="17">
        <f t="shared" si="7"/>
        <v>1295.8499999999999</v>
      </c>
      <c r="Y29" s="19">
        <f t="shared" si="8"/>
        <v>863.9</v>
      </c>
      <c r="Z29" s="17">
        <f t="shared" si="9"/>
        <v>50412.8845</v>
      </c>
      <c r="AA29" s="56">
        <f>+F29*S29/360</f>
        <v>3599.5555555555557</v>
      </c>
      <c r="AB29" s="56">
        <f t="shared" si="1"/>
        <v>54012.440055555555</v>
      </c>
    </row>
    <row r="30" spans="2:28" s="1" customFormat="1" ht="23.25" customHeight="1">
      <c r="B30" s="13" t="s">
        <v>233</v>
      </c>
      <c r="C30" s="14" t="s">
        <v>32</v>
      </c>
      <c r="D30" s="14">
        <v>2022</v>
      </c>
      <c r="E30" s="15" t="s">
        <v>30</v>
      </c>
      <c r="F30" s="16">
        <v>3640</v>
      </c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5">
        <f t="shared" si="2"/>
        <v>0</v>
      </c>
      <c r="T30" s="18">
        <f t="shared" si="3"/>
        <v>0</v>
      </c>
      <c r="U30" s="16">
        <f t="shared" si="4"/>
        <v>0</v>
      </c>
      <c r="V30" s="17">
        <f t="shared" si="5"/>
        <v>0</v>
      </c>
      <c r="W30" s="17">
        <f t="shared" si="6"/>
        <v>0</v>
      </c>
      <c r="X30" s="17">
        <f t="shared" si="7"/>
        <v>0</v>
      </c>
      <c r="Y30" s="19">
        <f t="shared" si="8"/>
        <v>0</v>
      </c>
      <c r="Z30" s="17">
        <f t="shared" si="9"/>
        <v>0</v>
      </c>
      <c r="AA30" s="56">
        <v>0</v>
      </c>
      <c r="AB30" s="56">
        <f t="shared" si="1"/>
        <v>0</v>
      </c>
    </row>
    <row r="31" spans="2:28" s="1" customFormat="1" ht="40.5" customHeight="1">
      <c r="B31" s="143" t="s">
        <v>38</v>
      </c>
      <c r="C31" s="153"/>
      <c r="D31" s="154"/>
      <c r="E31" s="154"/>
      <c r="F31" s="154"/>
      <c r="G31" s="154"/>
      <c r="H31" s="154"/>
      <c r="I31" s="154"/>
      <c r="J31" s="154"/>
      <c r="K31" s="154"/>
      <c r="L31" s="154"/>
      <c r="M31" s="154"/>
      <c r="N31" s="154"/>
      <c r="O31" s="154"/>
      <c r="P31" s="154"/>
      <c r="Q31" s="154"/>
      <c r="R31" s="154"/>
      <c r="S31" s="154"/>
      <c r="T31" s="154"/>
      <c r="U31" s="146"/>
      <c r="V31" s="154"/>
      <c r="W31" s="154"/>
      <c r="X31" s="154"/>
      <c r="Y31" s="154"/>
      <c r="Z31" s="149"/>
      <c r="AA31" s="56"/>
      <c r="AB31" s="56">
        <f t="shared" si="1"/>
        <v>0</v>
      </c>
    </row>
    <row r="32" spans="2:28" s="1" customFormat="1" ht="33.75" customHeight="1">
      <c r="B32" s="13" t="s">
        <v>229</v>
      </c>
      <c r="C32" s="14" t="s">
        <v>32</v>
      </c>
      <c r="D32" s="14">
        <v>2022</v>
      </c>
      <c r="E32" s="15" t="s">
        <v>30</v>
      </c>
      <c r="F32" s="16">
        <v>9906</v>
      </c>
      <c r="G32" s="17">
        <v>26</v>
      </c>
      <c r="H32" s="17">
        <v>30</v>
      </c>
      <c r="I32" s="17">
        <v>30</v>
      </c>
      <c r="J32" s="17">
        <v>30</v>
      </c>
      <c r="K32" s="17">
        <v>30</v>
      </c>
      <c r="L32" s="17">
        <v>30</v>
      </c>
      <c r="M32" s="17">
        <v>30</v>
      </c>
      <c r="N32" s="17">
        <v>30</v>
      </c>
      <c r="O32" s="17">
        <v>30</v>
      </c>
      <c r="P32" s="17">
        <v>30</v>
      </c>
      <c r="Q32" s="17">
        <v>30</v>
      </c>
      <c r="R32" s="17">
        <v>30</v>
      </c>
      <c r="S32" s="15">
        <f>SUM(G32:R32)</f>
        <v>356</v>
      </c>
      <c r="T32" s="18">
        <f>+S32/30</f>
        <v>11.866666666666667</v>
      </c>
      <c r="U32" s="16">
        <f>ROUND(PRODUCT(F32*T32),0)</f>
        <v>117551</v>
      </c>
      <c r="V32" s="17">
        <f>U32*0.1</f>
        <v>11755.1</v>
      </c>
      <c r="W32" s="17">
        <f>U32*0.0171</f>
        <v>2010.1221</v>
      </c>
      <c r="X32" s="17">
        <f>U32*0.03</f>
        <v>3526.5299999999997</v>
      </c>
      <c r="Y32" s="19">
        <f>U32*0.02</f>
        <v>2351.02</v>
      </c>
      <c r="Z32" s="17">
        <f>SUM(U32:Y32)</f>
        <v>137193.7721</v>
      </c>
      <c r="AA32" s="56">
        <f>+F32*S32/360</f>
        <v>9795.9333333333325</v>
      </c>
      <c r="AB32" s="56">
        <f t="shared" si="1"/>
        <v>146989.70543333332</v>
      </c>
    </row>
    <row r="33" spans="2:32" s="1" customFormat="1" ht="29.25" customHeight="1">
      <c r="B33" s="13" t="s">
        <v>234</v>
      </c>
      <c r="C33" s="14" t="s">
        <v>32</v>
      </c>
      <c r="D33" s="14">
        <v>2022</v>
      </c>
      <c r="E33" s="15" t="s">
        <v>30</v>
      </c>
      <c r="F33" s="16">
        <v>7459</v>
      </c>
      <c r="G33" s="17">
        <v>26</v>
      </c>
      <c r="H33" s="17">
        <v>30</v>
      </c>
      <c r="I33" s="17">
        <v>30</v>
      </c>
      <c r="J33" s="17">
        <v>30</v>
      </c>
      <c r="K33" s="17"/>
      <c r="L33" s="17"/>
      <c r="M33" s="17"/>
      <c r="N33" s="17"/>
      <c r="O33" s="17">
        <v>30</v>
      </c>
      <c r="P33" s="17">
        <v>30</v>
      </c>
      <c r="Q33" s="17">
        <v>30</v>
      </c>
      <c r="R33" s="17">
        <v>30</v>
      </c>
      <c r="S33" s="15">
        <f>SUM(G33:R33)</f>
        <v>236</v>
      </c>
      <c r="T33" s="18">
        <f>+S33/30</f>
        <v>7.8666666666666663</v>
      </c>
      <c r="U33" s="16">
        <f>ROUND(PRODUCT(F33*T33),0)</f>
        <v>58677</v>
      </c>
      <c r="V33" s="17">
        <f>U33*0.1</f>
        <v>5867.7000000000007</v>
      </c>
      <c r="W33" s="17">
        <f>U33*0.0171</f>
        <v>1003.3767</v>
      </c>
      <c r="X33" s="17">
        <f>U33*0.03</f>
        <v>1760.31</v>
      </c>
      <c r="Y33" s="19">
        <f>U33*0.02</f>
        <v>1173.54</v>
      </c>
      <c r="Z33" s="17">
        <f>SUM(U33:Y33)</f>
        <v>68481.926699999982</v>
      </c>
      <c r="AA33" s="56">
        <v>0</v>
      </c>
      <c r="AB33" s="56">
        <f t="shared" si="1"/>
        <v>68481.926699999982</v>
      </c>
      <c r="AF33" s="1">
        <v>20</v>
      </c>
    </row>
    <row r="34" spans="2:32" s="1" customFormat="1" ht="29.25" customHeight="1">
      <c r="B34" s="13" t="s">
        <v>235</v>
      </c>
      <c r="C34" s="14" t="s">
        <v>32</v>
      </c>
      <c r="D34" s="14">
        <v>2022</v>
      </c>
      <c r="E34" s="15" t="s">
        <v>30</v>
      </c>
      <c r="F34" s="16">
        <v>7459</v>
      </c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5">
        <f>SUM(G34:R34)</f>
        <v>0</v>
      </c>
      <c r="T34" s="18">
        <f>+S34/30</f>
        <v>0</v>
      </c>
      <c r="U34" s="16">
        <f>ROUND(PRODUCT(F34*T34),0)</f>
        <v>0</v>
      </c>
      <c r="V34" s="17">
        <f>U34*0.1</f>
        <v>0</v>
      </c>
      <c r="W34" s="17">
        <f>U34*0.0171</f>
        <v>0</v>
      </c>
      <c r="X34" s="17">
        <f>U34*0.03</f>
        <v>0</v>
      </c>
      <c r="Y34" s="19">
        <f>U34*0.02</f>
        <v>0</v>
      </c>
      <c r="Z34" s="17">
        <f>SUM(U34:Y34)</f>
        <v>0</v>
      </c>
      <c r="AA34" s="56">
        <v>0</v>
      </c>
      <c r="AB34" s="56"/>
    </row>
    <row r="35" spans="2:32" s="1" customFormat="1" ht="26.25" customHeight="1">
      <c r="B35" s="139" t="s">
        <v>39</v>
      </c>
      <c r="C35" s="144"/>
      <c r="D35" s="144"/>
      <c r="E35" s="145"/>
      <c r="F35" s="146"/>
      <c r="G35" s="146"/>
      <c r="H35" s="146"/>
      <c r="I35" s="146"/>
      <c r="J35" s="146"/>
      <c r="K35" s="146"/>
      <c r="L35" s="146"/>
      <c r="M35" s="146"/>
      <c r="N35" s="146"/>
      <c r="O35" s="146"/>
      <c r="P35" s="146"/>
      <c r="Q35" s="146"/>
      <c r="R35" s="146"/>
      <c r="S35" s="145"/>
      <c r="T35" s="145"/>
      <c r="U35" s="146"/>
      <c r="V35" s="149"/>
      <c r="W35" s="149"/>
      <c r="X35" s="149"/>
      <c r="Y35" s="150"/>
      <c r="Z35" s="149"/>
      <c r="AA35" s="56"/>
      <c r="AB35" s="56">
        <f>+AA35+Z35</f>
        <v>0</v>
      </c>
      <c r="AF35" s="1">
        <v>30</v>
      </c>
    </row>
    <row r="36" spans="2:32" s="1" customFormat="1" ht="29.25" customHeight="1">
      <c r="B36" s="13" t="s">
        <v>230</v>
      </c>
      <c r="C36" s="14" t="s">
        <v>32</v>
      </c>
      <c r="D36" s="14">
        <v>2022</v>
      </c>
      <c r="E36" s="15" t="s">
        <v>30</v>
      </c>
      <c r="F36" s="16">
        <v>9906</v>
      </c>
      <c r="G36" s="17">
        <v>26</v>
      </c>
      <c r="H36" s="17">
        <v>30</v>
      </c>
      <c r="I36" s="17">
        <v>30</v>
      </c>
      <c r="J36" s="17">
        <v>30</v>
      </c>
      <c r="K36" s="17">
        <v>30</v>
      </c>
      <c r="L36" s="17">
        <v>30</v>
      </c>
      <c r="M36" s="17">
        <v>30</v>
      </c>
      <c r="N36" s="17">
        <v>30</v>
      </c>
      <c r="O36" s="17">
        <v>30</v>
      </c>
      <c r="P36" s="17">
        <v>30</v>
      </c>
      <c r="Q36" s="17">
        <v>30</v>
      </c>
      <c r="R36" s="17">
        <v>30</v>
      </c>
      <c r="S36" s="15">
        <f>SUM(G36:R36)</f>
        <v>356</v>
      </c>
      <c r="T36" s="18">
        <f>+S36/30</f>
        <v>11.866666666666667</v>
      </c>
      <c r="U36" s="16">
        <f>ROUND(PRODUCT(F36*T36),0)</f>
        <v>117551</v>
      </c>
      <c r="V36" s="17">
        <f>U36*0.1</f>
        <v>11755.1</v>
      </c>
      <c r="W36" s="17">
        <f>U36*0.0171</f>
        <v>2010.1221</v>
      </c>
      <c r="X36" s="17">
        <f>U36*0.03</f>
        <v>3526.5299999999997</v>
      </c>
      <c r="Y36" s="19">
        <f>U36*0.02</f>
        <v>2351.02</v>
      </c>
      <c r="Z36" s="17">
        <f>SUM(U36:Y36)</f>
        <v>137193.7721</v>
      </c>
      <c r="AA36" s="56">
        <f>+F36*S36/360</f>
        <v>9795.9333333333325</v>
      </c>
      <c r="AB36" s="56">
        <f>+AA36+Z36</f>
        <v>146989.70543333332</v>
      </c>
      <c r="AF36" s="1">
        <v>10</v>
      </c>
    </row>
    <row r="37" spans="2:32" s="1" customFormat="1" ht="23.25" customHeight="1">
      <c r="B37" s="13" t="s">
        <v>237</v>
      </c>
      <c r="C37" s="14" t="s">
        <v>32</v>
      </c>
      <c r="D37" s="14">
        <v>2022</v>
      </c>
      <c r="E37" s="15" t="s">
        <v>30</v>
      </c>
      <c r="F37" s="16">
        <v>7459</v>
      </c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5">
        <f>SUM(G37:R37)</f>
        <v>0</v>
      </c>
      <c r="T37" s="18">
        <f>+S37/30</f>
        <v>0</v>
      </c>
      <c r="U37" s="16">
        <f>ROUND(PRODUCT(F37*T37),0)</f>
        <v>0</v>
      </c>
      <c r="V37" s="17">
        <f>U37*0.1</f>
        <v>0</v>
      </c>
      <c r="W37" s="17">
        <f>U37*0.0171</f>
        <v>0</v>
      </c>
      <c r="X37" s="17">
        <f>U37*0.03</f>
        <v>0</v>
      </c>
      <c r="Y37" s="19">
        <f>U37*0.02</f>
        <v>0</v>
      </c>
      <c r="Z37" s="17">
        <f>SUM(U37:Y37)</f>
        <v>0</v>
      </c>
      <c r="AA37" s="56">
        <v>0</v>
      </c>
      <c r="AB37" s="56">
        <f>+AA37+Z37</f>
        <v>0</v>
      </c>
      <c r="AF37" s="1">
        <f>SUM(AF33:AF36)</f>
        <v>60</v>
      </c>
    </row>
    <row r="38" spans="2:32" s="1" customFormat="1" ht="23.25" customHeight="1">
      <c r="B38" s="13" t="s">
        <v>238</v>
      </c>
      <c r="C38" s="14" t="s">
        <v>32</v>
      </c>
      <c r="D38" s="14">
        <v>2022</v>
      </c>
      <c r="E38" s="15" t="s">
        <v>30</v>
      </c>
      <c r="F38" s="16">
        <v>7459</v>
      </c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5">
        <f>SUM(G38:R38)</f>
        <v>0</v>
      </c>
      <c r="T38" s="18">
        <f>+S38/30</f>
        <v>0</v>
      </c>
      <c r="U38" s="16">
        <f>ROUND(PRODUCT(F38*T38),0)</f>
        <v>0</v>
      </c>
      <c r="V38" s="17">
        <f>U38*0.1</f>
        <v>0</v>
      </c>
      <c r="W38" s="17">
        <f>U38*0.0171</f>
        <v>0</v>
      </c>
      <c r="X38" s="17">
        <f>U38*0.03</f>
        <v>0</v>
      </c>
      <c r="Y38" s="19">
        <f>U38*0.02</f>
        <v>0</v>
      </c>
      <c r="Z38" s="17">
        <f>SUM(U38:Y38)</f>
        <v>0</v>
      </c>
      <c r="AA38" s="56">
        <v>0</v>
      </c>
      <c r="AB38" s="56"/>
    </row>
    <row r="39" spans="2:32" s="1" customFormat="1" ht="28.5" customHeight="1">
      <c r="B39" s="139" t="s">
        <v>37</v>
      </c>
      <c r="C39" s="140"/>
      <c r="D39" s="140"/>
      <c r="E39" s="140"/>
      <c r="F39" s="155"/>
      <c r="G39" s="155"/>
      <c r="H39" s="155"/>
      <c r="I39" s="155"/>
      <c r="J39" s="155"/>
      <c r="K39" s="155"/>
      <c r="L39" s="155"/>
      <c r="M39" s="155"/>
      <c r="N39" s="155"/>
      <c r="O39" s="155"/>
      <c r="P39" s="155"/>
      <c r="Q39" s="155"/>
      <c r="R39" s="155"/>
      <c r="S39" s="140"/>
      <c r="T39" s="140"/>
      <c r="U39" s="148"/>
      <c r="V39" s="141"/>
      <c r="W39" s="141"/>
      <c r="X39" s="141"/>
      <c r="Y39" s="141"/>
      <c r="Z39" s="149"/>
      <c r="AA39" s="56"/>
      <c r="AB39" s="56">
        <f t="shared" ref="AB39:AB44" si="10">+AA39+Z39</f>
        <v>0</v>
      </c>
    </row>
    <row r="40" spans="2:32" s="1" customFormat="1" ht="20.399999999999999">
      <c r="B40" s="25" t="s">
        <v>231</v>
      </c>
      <c r="C40" s="14" t="s">
        <v>32</v>
      </c>
      <c r="D40" s="14">
        <v>2022</v>
      </c>
      <c r="E40" s="15" t="s">
        <v>30</v>
      </c>
      <c r="F40" s="26">
        <v>9906</v>
      </c>
      <c r="G40" s="17">
        <v>26</v>
      </c>
      <c r="H40" s="17">
        <v>30</v>
      </c>
      <c r="I40" s="17">
        <v>30</v>
      </c>
      <c r="J40" s="17">
        <v>30</v>
      </c>
      <c r="K40" s="17">
        <v>30</v>
      </c>
      <c r="L40" s="17">
        <v>30</v>
      </c>
      <c r="M40" s="17">
        <v>30</v>
      </c>
      <c r="N40" s="17">
        <v>30</v>
      </c>
      <c r="O40" s="17">
        <v>30</v>
      </c>
      <c r="P40" s="17">
        <v>30</v>
      </c>
      <c r="Q40" s="17">
        <v>30</v>
      </c>
      <c r="R40" s="17">
        <v>30</v>
      </c>
      <c r="S40" s="15">
        <f>SUM(G40:R40)</f>
        <v>356</v>
      </c>
      <c r="T40" s="18">
        <f>+S40/30</f>
        <v>11.866666666666667</v>
      </c>
      <c r="U40" s="16">
        <f>ROUND(PRODUCT(F40*T40),0)</f>
        <v>117551</v>
      </c>
      <c r="V40" s="17">
        <f>U40*0.1</f>
        <v>11755.1</v>
      </c>
      <c r="W40" s="17">
        <f>U40*0.0171</f>
        <v>2010.1221</v>
      </c>
      <c r="X40" s="17">
        <f>U40*0.03</f>
        <v>3526.5299999999997</v>
      </c>
      <c r="Y40" s="19">
        <f>U40*0.02</f>
        <v>2351.02</v>
      </c>
      <c r="Z40" s="17">
        <f>SUM(U40:Y40)</f>
        <v>137193.7721</v>
      </c>
      <c r="AA40" s="56">
        <f>+F40*S40/360</f>
        <v>9795.9333333333325</v>
      </c>
      <c r="AB40" s="56">
        <f t="shared" si="10"/>
        <v>146989.70543333332</v>
      </c>
    </row>
    <row r="41" spans="2:32" s="1" customFormat="1" ht="29.25" customHeight="1">
      <c r="B41" s="13" t="s">
        <v>239</v>
      </c>
      <c r="C41" s="14" t="s">
        <v>32</v>
      </c>
      <c r="D41" s="14">
        <v>2022</v>
      </c>
      <c r="E41" s="15" t="s">
        <v>30</v>
      </c>
      <c r="F41" s="16">
        <v>7459</v>
      </c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5">
        <f>SUM(G41:R41)</f>
        <v>0</v>
      </c>
      <c r="T41" s="18">
        <f>+S41/30</f>
        <v>0</v>
      </c>
      <c r="U41" s="16">
        <f>ROUND(PRODUCT(F41*T41),0)</f>
        <v>0</v>
      </c>
      <c r="V41" s="17">
        <f>U41*0.1</f>
        <v>0</v>
      </c>
      <c r="W41" s="17">
        <f>U41*0.0171</f>
        <v>0</v>
      </c>
      <c r="X41" s="17">
        <f>U41*0.03</f>
        <v>0</v>
      </c>
      <c r="Y41" s="19">
        <f>U41*0.02</f>
        <v>0</v>
      </c>
      <c r="Z41" s="17">
        <f>SUM(U41:Y41)</f>
        <v>0</v>
      </c>
      <c r="AA41" s="56">
        <v>0</v>
      </c>
      <c r="AB41" s="56">
        <f t="shared" si="10"/>
        <v>0</v>
      </c>
    </row>
    <row r="42" spans="2:32" s="1" customFormat="1" ht="24" customHeight="1">
      <c r="B42" s="13" t="s">
        <v>240</v>
      </c>
      <c r="C42" s="14" t="s">
        <v>32</v>
      </c>
      <c r="D42" s="14">
        <v>2022</v>
      </c>
      <c r="E42" s="15" t="s">
        <v>30</v>
      </c>
      <c r="F42" s="16">
        <v>7459</v>
      </c>
      <c r="G42" s="17">
        <v>26</v>
      </c>
      <c r="H42" s="17">
        <v>30</v>
      </c>
      <c r="I42" s="17">
        <v>30</v>
      </c>
      <c r="J42" s="17">
        <v>30</v>
      </c>
      <c r="K42" s="17"/>
      <c r="L42" s="17"/>
      <c r="M42" s="17"/>
      <c r="N42" s="17"/>
      <c r="O42" s="17"/>
      <c r="P42" s="17">
        <v>30</v>
      </c>
      <c r="Q42" s="17">
        <v>30</v>
      </c>
      <c r="R42" s="17">
        <v>30</v>
      </c>
      <c r="S42" s="15">
        <f>SUM(G42:R42)</f>
        <v>206</v>
      </c>
      <c r="T42" s="18">
        <f>+S42/30</f>
        <v>6.8666666666666663</v>
      </c>
      <c r="U42" s="16">
        <f>ROUND(PRODUCT(F42*T42),0)</f>
        <v>51218</v>
      </c>
      <c r="V42" s="17">
        <f>U42*0.1</f>
        <v>5121.8</v>
      </c>
      <c r="W42" s="17">
        <f>U42*0.0171</f>
        <v>875.82780000000002</v>
      </c>
      <c r="X42" s="17">
        <f>U42*0.03</f>
        <v>1536.54</v>
      </c>
      <c r="Y42" s="19">
        <f>U42*0.02</f>
        <v>1024.3600000000001</v>
      </c>
      <c r="Z42" s="17">
        <f>SUM(U42:Y42)</f>
        <v>59776.527800000003</v>
      </c>
      <c r="AA42" s="56">
        <v>0</v>
      </c>
      <c r="AB42" s="56">
        <f t="shared" si="10"/>
        <v>59776.527800000003</v>
      </c>
    </row>
    <row r="43" spans="2:32" s="1" customFormat="1" ht="26.25" customHeight="1">
      <c r="B43" s="13" t="s">
        <v>236</v>
      </c>
      <c r="C43" s="14" t="s">
        <v>32</v>
      </c>
      <c r="D43" s="14">
        <v>2022</v>
      </c>
      <c r="E43" s="15" t="s">
        <v>30</v>
      </c>
      <c r="F43" s="16">
        <v>4416</v>
      </c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5">
        <f>SUM(G43:R43)</f>
        <v>0</v>
      </c>
      <c r="T43" s="18">
        <f>+S43/30</f>
        <v>0</v>
      </c>
      <c r="U43" s="16">
        <f>ROUND(PRODUCT(F43*T43),0)</f>
        <v>0</v>
      </c>
      <c r="V43" s="17">
        <f>U43*0.1</f>
        <v>0</v>
      </c>
      <c r="W43" s="17">
        <f>U43*0.0171</f>
        <v>0</v>
      </c>
      <c r="X43" s="17">
        <f>U43*0.03</f>
        <v>0</v>
      </c>
      <c r="Y43" s="19">
        <f>U43*0.02</f>
        <v>0</v>
      </c>
      <c r="Z43" s="17">
        <f>SUM(U43:Y43)</f>
        <v>0</v>
      </c>
      <c r="AA43" s="56">
        <v>0</v>
      </c>
      <c r="AB43" s="56">
        <f t="shared" si="10"/>
        <v>0</v>
      </c>
      <c r="AF43" s="1">
        <v>30</v>
      </c>
    </row>
    <row r="44" spans="2:32" s="1" customFormat="1">
      <c r="B44" s="4"/>
      <c r="C44" s="5"/>
      <c r="D44" s="5"/>
      <c r="E44" s="5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31"/>
      <c r="V44" s="6"/>
      <c r="W44" s="6"/>
      <c r="X44" s="6"/>
      <c r="Y44" s="6"/>
      <c r="Z44" s="175"/>
      <c r="AA44" s="56"/>
      <c r="AB44" s="56">
        <f t="shared" si="10"/>
        <v>0</v>
      </c>
    </row>
    <row r="45" spans="2:32" s="1" customFormat="1">
      <c r="B45" s="32" t="s">
        <v>40</v>
      </c>
      <c r="C45" s="33">
        <v>27</v>
      </c>
      <c r="D45" s="34"/>
      <c r="E45" s="35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7">
        <f>SUM(U12:U44)</f>
        <v>993624</v>
      </c>
      <c r="V45" s="37">
        <f>SUM(V10:V44)</f>
        <v>122146.80000000002</v>
      </c>
      <c r="W45" s="37">
        <f>SUM(W10:W44)</f>
        <v>20887.102800000001</v>
      </c>
      <c r="X45" s="37">
        <f>SUM(X10:X44)</f>
        <v>36644.04</v>
      </c>
      <c r="Y45" s="37">
        <f>SUM(Y10:Y44)</f>
        <v>24429.360000000001</v>
      </c>
      <c r="Z45" s="37">
        <f>SUM(Z10:Z44)</f>
        <v>1425575.3027999999</v>
      </c>
      <c r="AA45" s="56">
        <f>SUM(AA9:AA42)</f>
        <v>89315.697222222225</v>
      </c>
      <c r="AB45" s="57">
        <f>SUM(AB9:AB42)</f>
        <v>1514891.0000222221</v>
      </c>
    </row>
    <row r="46" spans="2:32" s="1" customFormat="1">
      <c r="B46" s="32" t="s">
        <v>243</v>
      </c>
      <c r="C46" s="33">
        <v>27</v>
      </c>
      <c r="D46" s="34"/>
      <c r="E46" s="35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8">
        <f>SUM(U45:U45)</f>
        <v>993624</v>
      </c>
      <c r="V46" s="38">
        <f>SUM(V45:V45)</f>
        <v>122146.80000000002</v>
      </c>
      <c r="W46" s="38">
        <f>SUM(W45:W45)</f>
        <v>20887.102800000001</v>
      </c>
      <c r="X46" s="38">
        <f>SUM(X45:X45)</f>
        <v>36644.04</v>
      </c>
      <c r="Y46" s="38">
        <f>SUM(Y45:Y45)</f>
        <v>24429.360000000001</v>
      </c>
      <c r="Z46" s="176"/>
      <c r="AA46" s="56"/>
      <c r="AB46" s="56"/>
    </row>
    <row r="47" spans="2:32" s="127" customFormat="1">
      <c r="B47" s="122"/>
      <c r="C47" s="123"/>
      <c r="D47" s="123"/>
      <c r="E47" s="122"/>
      <c r="F47" s="124"/>
      <c r="G47" s="124"/>
      <c r="H47" s="124"/>
      <c r="I47" s="124"/>
      <c r="J47" s="124"/>
      <c r="K47" s="124"/>
      <c r="L47" s="124"/>
      <c r="M47" s="124"/>
      <c r="N47" s="124"/>
      <c r="O47" s="124"/>
      <c r="P47" s="124"/>
      <c r="Q47" s="124"/>
      <c r="R47" s="124"/>
      <c r="S47" s="124"/>
      <c r="T47" s="124"/>
      <c r="U47" s="125"/>
      <c r="V47" s="126"/>
      <c r="W47" s="126"/>
      <c r="X47" s="126"/>
      <c r="Y47" s="126"/>
      <c r="Z47" s="131"/>
      <c r="AA47" s="132"/>
      <c r="AB47" s="132"/>
    </row>
    <row r="48" spans="2:32" s="127" customFormat="1">
      <c r="B48" s="122"/>
      <c r="C48" s="123"/>
      <c r="D48" s="123"/>
      <c r="E48" s="122"/>
      <c r="F48" s="124"/>
      <c r="G48" s="124"/>
      <c r="H48" s="124"/>
      <c r="I48" s="124"/>
      <c r="J48" s="124"/>
      <c r="K48" s="124"/>
      <c r="L48" s="124"/>
      <c r="M48" s="124"/>
      <c r="N48" s="124"/>
      <c r="O48" s="124"/>
      <c r="P48" s="124"/>
      <c r="Q48" s="124"/>
      <c r="R48" s="124"/>
      <c r="S48" s="124"/>
      <c r="T48" s="124"/>
      <c r="U48" s="125"/>
      <c r="V48" s="126"/>
      <c r="W48" s="126"/>
      <c r="X48" s="126"/>
      <c r="Y48" s="126"/>
      <c r="Z48" s="131"/>
      <c r="AA48" s="132"/>
      <c r="AB48" s="132"/>
    </row>
    <row r="49" spans="2:28" s="127" customFormat="1">
      <c r="B49" s="122"/>
      <c r="C49" s="123"/>
      <c r="D49" s="123"/>
      <c r="E49" s="122"/>
      <c r="F49" s="124"/>
      <c r="G49" s="124"/>
      <c r="H49" s="124"/>
      <c r="I49" s="124"/>
      <c r="J49" s="124"/>
      <c r="K49" s="124"/>
      <c r="L49" s="124"/>
      <c r="M49" s="124"/>
      <c r="N49" s="124"/>
      <c r="O49" s="124"/>
      <c r="P49" s="124"/>
      <c r="Q49" s="124"/>
      <c r="R49" s="124"/>
      <c r="S49" s="124"/>
      <c r="T49" s="124"/>
      <c r="U49" s="125"/>
      <c r="V49" s="126"/>
      <c r="W49" s="126"/>
      <c r="X49" s="126"/>
      <c r="Y49" s="126"/>
      <c r="Z49" s="131"/>
      <c r="AA49" s="132"/>
      <c r="AB49" s="132"/>
    </row>
    <row r="50" spans="2:28" s="127" customFormat="1">
      <c r="B50" s="122"/>
      <c r="C50" s="123"/>
      <c r="D50" s="123"/>
      <c r="E50" s="122"/>
      <c r="F50" s="124"/>
      <c r="G50" s="124"/>
      <c r="H50" s="124"/>
      <c r="I50" s="124"/>
      <c r="J50" s="124"/>
      <c r="K50" s="124"/>
      <c r="L50" s="124"/>
      <c r="M50" s="124"/>
      <c r="N50" s="124"/>
      <c r="O50" s="124"/>
      <c r="P50" s="124"/>
      <c r="Q50" s="124"/>
      <c r="R50" s="124"/>
      <c r="S50" s="124"/>
      <c r="T50" s="124"/>
      <c r="U50" s="125"/>
      <c r="V50" s="126"/>
      <c r="W50" s="126"/>
      <c r="X50" s="126"/>
      <c r="Y50" s="126"/>
      <c r="Z50" s="131"/>
      <c r="AA50" s="132"/>
      <c r="AB50" s="132"/>
    </row>
    <row r="51" spans="2:28" s="1" customFormat="1">
      <c r="B51" s="4"/>
      <c r="C51" s="5"/>
      <c r="D51" s="5"/>
      <c r="E51" s="5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3"/>
      <c r="V51" s="6"/>
      <c r="W51" s="6"/>
      <c r="X51" s="6"/>
      <c r="Y51" s="6"/>
      <c r="Z51" s="44"/>
      <c r="AA51" s="56"/>
      <c r="AB51" s="56">
        <f>+Z56-AB45</f>
        <v>413615.99997777794</v>
      </c>
    </row>
    <row r="52" spans="2:28" s="1" customFormat="1" ht="14.1" customHeight="1">
      <c r="B52" s="45"/>
      <c r="C52" s="45"/>
      <c r="D52" s="133"/>
      <c r="E52" s="133"/>
      <c r="F52" s="178"/>
      <c r="G52" s="178"/>
      <c r="H52" s="178"/>
      <c r="I52" s="178"/>
      <c r="J52" s="178"/>
      <c r="K52" s="178"/>
      <c r="L52" s="178"/>
      <c r="M52" s="178"/>
      <c r="N52" s="178"/>
      <c r="O52" s="178"/>
      <c r="P52" s="178"/>
      <c r="Q52" s="178"/>
      <c r="R52" s="178"/>
      <c r="S52" s="179">
        <f>SUM(T10:T42)</f>
        <v>133.63333333333335</v>
      </c>
      <c r="T52" s="45"/>
      <c r="U52" s="46"/>
      <c r="V52" s="331" t="s">
        <v>42</v>
      </c>
      <c r="W52" s="331"/>
      <c r="X52" s="331"/>
      <c r="Y52" s="331"/>
      <c r="Z52" s="47">
        <f>F10</f>
        <v>18987</v>
      </c>
      <c r="AA52" s="56"/>
      <c r="AB52" s="56"/>
    </row>
    <row r="53" spans="2:28" s="1" customFormat="1">
      <c r="B53" s="45"/>
      <c r="C53" s="45"/>
      <c r="D53" s="133"/>
      <c r="E53" s="133"/>
      <c r="F53" s="180" t="e">
        <f>F10+F12+F13+F14+F15+F17+F19+#REF!+#REF!+#REF!+#REF!+F25+F26+F27+F28+F29+F30+F32+F33+F34+F43+F36+F37+F38+F40+F41+F42</f>
        <v>#REF!</v>
      </c>
      <c r="G53" s="178"/>
      <c r="H53" s="178"/>
      <c r="I53" s="178"/>
      <c r="J53" s="178"/>
      <c r="K53" s="178"/>
      <c r="L53" s="178"/>
      <c r="M53" s="178"/>
      <c r="N53" s="178"/>
      <c r="O53" s="178"/>
      <c r="P53" s="178"/>
      <c r="Q53" s="178"/>
      <c r="R53" s="178"/>
      <c r="S53" s="181">
        <f>S52/27</f>
        <v>4.9493827160493833</v>
      </c>
      <c r="T53" s="45"/>
      <c r="U53" s="45"/>
      <c r="V53" s="45"/>
      <c r="W53" s="45"/>
      <c r="X53" s="45"/>
      <c r="Y53" s="45"/>
      <c r="Z53" s="45"/>
      <c r="AA53" s="56"/>
      <c r="AB53" s="56"/>
    </row>
    <row r="54" spans="2:28" s="1" customFormat="1" ht="14.1" customHeight="1">
      <c r="B54" s="45"/>
      <c r="C54" s="45"/>
      <c r="D54" s="133"/>
      <c r="E54" s="133"/>
      <c r="F54" s="182" t="e">
        <f>F53-19535</f>
        <v>#REF!</v>
      </c>
      <c r="G54" s="178"/>
      <c r="H54" s="178"/>
      <c r="I54" s="178"/>
      <c r="J54" s="178"/>
      <c r="K54" s="178"/>
      <c r="L54" s="178"/>
      <c r="M54" s="178"/>
      <c r="N54" s="178"/>
      <c r="O54" s="178"/>
      <c r="P54" s="178"/>
      <c r="Q54" s="178"/>
      <c r="R54" s="178"/>
      <c r="S54" s="181"/>
      <c r="T54" s="45"/>
      <c r="U54" s="48"/>
      <c r="V54" s="331" t="s">
        <v>43</v>
      </c>
      <c r="W54" s="331"/>
      <c r="X54" s="331"/>
      <c r="Y54" s="331"/>
      <c r="Z54" s="49">
        <f>Z52+Z45</f>
        <v>1444562.3027999999</v>
      </c>
      <c r="AA54" s="56" t="s">
        <v>45</v>
      </c>
      <c r="AB54" s="56">
        <f>W45+X45+Y45+AA45</f>
        <v>171276.20002222224</v>
      </c>
    </row>
    <row r="55" spans="2:28" s="1" customFormat="1">
      <c r="B55" s="45"/>
      <c r="C55" s="45"/>
      <c r="D55" s="133"/>
      <c r="E55" s="133"/>
      <c r="F55" s="133"/>
      <c r="G55" s="133"/>
      <c r="H55" s="133"/>
      <c r="I55" s="133"/>
      <c r="J55" s="133"/>
      <c r="K55" s="133"/>
      <c r="L55" s="133"/>
      <c r="M55" s="133"/>
      <c r="N55" s="133"/>
      <c r="O55" s="133"/>
      <c r="P55" s="133"/>
      <c r="Q55" s="133"/>
      <c r="R55" s="133"/>
      <c r="S55" s="45"/>
      <c r="T55" s="45"/>
      <c r="U55" s="50"/>
      <c r="V55" s="45"/>
      <c r="W55" s="45"/>
      <c r="X55" s="45"/>
      <c r="Y55" s="45"/>
      <c r="Z55" s="45"/>
      <c r="AA55" s="56"/>
      <c r="AB55" s="56"/>
    </row>
    <row r="56" spans="2:28" s="1" customFormat="1" ht="14.1" customHeight="1">
      <c r="B56" s="45"/>
      <c r="C56" s="45"/>
      <c r="D56" s="133"/>
      <c r="E56" s="133"/>
      <c r="F56" s="133"/>
      <c r="G56" s="133"/>
      <c r="H56" s="133"/>
      <c r="I56" s="133"/>
      <c r="J56" s="133"/>
      <c r="K56" s="133"/>
      <c r="L56" s="133"/>
      <c r="M56" s="133"/>
      <c r="N56" s="133"/>
      <c r="O56" s="133"/>
      <c r="P56" s="133"/>
      <c r="Q56" s="133"/>
      <c r="R56" s="133"/>
      <c r="S56" s="45"/>
      <c r="T56" s="45"/>
      <c r="U56" s="51"/>
      <c r="V56" s="331" t="s">
        <v>44</v>
      </c>
      <c r="W56" s="331"/>
      <c r="X56" s="331"/>
      <c r="Y56" s="331"/>
      <c r="Z56" s="52">
        <v>1928507</v>
      </c>
      <c r="AA56" s="56"/>
      <c r="AB56" s="56"/>
    </row>
    <row r="57" spans="2:28" s="1" customFormat="1" ht="14.1" customHeight="1">
      <c r="B57" s="45"/>
      <c r="C57" s="45"/>
      <c r="D57" s="133"/>
      <c r="E57" s="133"/>
      <c r="F57" s="133"/>
      <c r="G57" s="133"/>
      <c r="H57" s="133"/>
      <c r="I57" s="133"/>
      <c r="J57" s="133"/>
      <c r="K57" s="133"/>
      <c r="L57" s="133"/>
      <c r="M57" s="133"/>
      <c r="N57" s="133"/>
      <c r="O57" s="133"/>
      <c r="P57" s="133"/>
      <c r="Q57" s="133"/>
      <c r="R57" s="133"/>
      <c r="S57" s="45"/>
      <c r="T57" s="45"/>
      <c r="U57" s="51"/>
      <c r="V57" s="54"/>
      <c r="W57" s="54"/>
      <c r="X57" s="54"/>
      <c r="Y57" s="54"/>
      <c r="Z57" s="55"/>
      <c r="AA57" s="56"/>
      <c r="AB57" s="56"/>
    </row>
    <row r="58" spans="2:28">
      <c r="V58" s="59" t="s">
        <v>46</v>
      </c>
      <c r="W58" s="59"/>
      <c r="X58" s="59"/>
      <c r="Y58" s="59"/>
      <c r="Z58" s="134">
        <f>+U45</f>
        <v>993624</v>
      </c>
    </row>
    <row r="59" spans="2:28">
      <c r="V59" t="s">
        <v>47</v>
      </c>
      <c r="Z59" s="53">
        <f>+U10</f>
        <v>227844</v>
      </c>
    </row>
    <row r="60" spans="2:28">
      <c r="V60" t="s">
        <v>48</v>
      </c>
      <c r="Z60" s="53">
        <f>+V45+W45+X45+Y45</f>
        <v>204107.3028</v>
      </c>
    </row>
    <row r="61" spans="2:28">
      <c r="V61" t="s">
        <v>49</v>
      </c>
      <c r="Z61" s="53">
        <f>+AA45</f>
        <v>89315.697222222225</v>
      </c>
    </row>
    <row r="62" spans="2:28" ht="14.7" thickBot="1"/>
    <row r="63" spans="2:28" ht="14.7" thickBot="1">
      <c r="Z63" s="58">
        <f>SUM(Z58:Z62)</f>
        <v>1514891.0000222223</v>
      </c>
    </row>
    <row r="65" spans="22:28">
      <c r="Z65" s="53">
        <f>+Z56-Z63</f>
        <v>413615.99997777771</v>
      </c>
    </row>
    <row r="67" spans="22:28">
      <c r="X67" t="s">
        <v>188</v>
      </c>
      <c r="Y67" t="s">
        <v>189</v>
      </c>
    </row>
    <row r="68" spans="22:28">
      <c r="X68" s="156" t="s">
        <v>178</v>
      </c>
      <c r="Y68" s="156" t="s">
        <v>179</v>
      </c>
      <c r="Z68" s="156" t="s">
        <v>190</v>
      </c>
    </row>
    <row r="69" spans="22:28">
      <c r="V69" s="158" t="s">
        <v>180</v>
      </c>
      <c r="X69" s="157">
        <f>AA10</f>
        <v>18987</v>
      </c>
      <c r="Y69" s="157">
        <v>0</v>
      </c>
      <c r="Z69" s="157">
        <f>X69+Y69</f>
        <v>18987</v>
      </c>
    </row>
    <row r="70" spans="22:28">
      <c r="V70" s="158" t="s">
        <v>181</v>
      </c>
      <c r="X70" s="157">
        <v>0</v>
      </c>
      <c r="Y70" s="157">
        <v>0</v>
      </c>
      <c r="Z70" s="157">
        <f t="shared" ref="Z70:Z77" si="11">X70+Y70</f>
        <v>0</v>
      </c>
    </row>
    <row r="71" spans="22:28">
      <c r="V71" s="158" t="s">
        <v>182</v>
      </c>
      <c r="X71" s="157">
        <f>U10</f>
        <v>227844</v>
      </c>
      <c r="Y71" s="157">
        <v>0</v>
      </c>
      <c r="Z71" s="157">
        <f t="shared" si="11"/>
        <v>227844</v>
      </c>
    </row>
    <row r="72" spans="22:28">
      <c r="V72" s="158" t="s">
        <v>183</v>
      </c>
      <c r="X72" s="157">
        <v>0</v>
      </c>
      <c r="Y72" s="157" t="e">
        <f>U12+U14+U15+U17+U19+#REF!+#REF!+#REF!+#REF!+U25+U26+U27+U28+U29+U30+U32+U33+U34+U43+U36+U37+U38+U40+U41+U42+U13</f>
        <v>#REF!</v>
      </c>
      <c r="Z72" s="157" t="e">
        <f t="shared" si="11"/>
        <v>#REF!</v>
      </c>
    </row>
    <row r="73" spans="22:28">
      <c r="V73" s="158" t="s">
        <v>184</v>
      </c>
      <c r="X73" s="157">
        <f>V10</f>
        <v>22784.400000000001</v>
      </c>
      <c r="Y73" s="157" t="e">
        <f>V12+V14+V15+V17+V19+#REF!+#REF!+#REF!+#REF!+V25+V26+V27+V28+V29+V30+V32+V33+V34+V43+V36+V37+V38+V40+V41+V42+V13</f>
        <v>#REF!</v>
      </c>
      <c r="Z73" s="157" t="e">
        <f t="shared" si="11"/>
        <v>#REF!</v>
      </c>
    </row>
    <row r="74" spans="22:28">
      <c r="V74" s="158" t="s">
        <v>185</v>
      </c>
      <c r="X74" s="157">
        <f>W10</f>
        <v>3896.1324</v>
      </c>
      <c r="Y74" s="157" t="e">
        <f>W12+W14+W15+W17+W19+#REF!+#REF!+#REF!+#REF!+W25+W26+W27+W28+W29+W30+W32+W33+W34+W43+W36+W37+W38+W40+W41+W42+W13</f>
        <v>#REF!</v>
      </c>
      <c r="Z74" s="157" t="e">
        <f t="shared" si="11"/>
        <v>#REF!</v>
      </c>
    </row>
    <row r="75" spans="22:28">
      <c r="V75" s="158" t="s">
        <v>186</v>
      </c>
      <c r="X75" s="157">
        <f>X10</f>
        <v>6835.32</v>
      </c>
      <c r="Y75" s="157" t="e">
        <f>X12+X14+X15+X17+X19+#REF!+#REF!+#REF!+#REF!+X25+X26+X27+X28+X29+X30+X32+X33+X34+X43+X36+X37+X38+X40+X41+X42+X13</f>
        <v>#REF!</v>
      </c>
      <c r="Z75" s="157" t="e">
        <f t="shared" si="11"/>
        <v>#REF!</v>
      </c>
    </row>
    <row r="76" spans="22:28">
      <c r="V76" s="158" t="s">
        <v>187</v>
      </c>
      <c r="X76" s="157">
        <f>Y10</f>
        <v>4556.88</v>
      </c>
      <c r="Y76" s="157" t="e">
        <f>Y12+Y14+Y15+Y17+Y19+#REF!+#REF!+#REF!+#REF!+Y25+Y26+Y27+Y28+Y29+Y30+Y32+Y33+Y34+Y43+Y36+Y37+Y38+Y40+Y41+Y42+Y13</f>
        <v>#REF!</v>
      </c>
      <c r="Z76" s="157" t="e">
        <f t="shared" si="11"/>
        <v>#REF!</v>
      </c>
    </row>
    <row r="77" spans="22:28">
      <c r="V77" s="158" t="s">
        <v>191</v>
      </c>
      <c r="X77" s="157"/>
      <c r="Y77" s="157" t="e">
        <f>AA12+AA14+AA15+AA17+AA19+#REF!+#REF!+#REF!+#REF!+AA25+AA26+AA28+AA27+AA29+AA30+AA32+AA33+AA34+AA43+AA36+AA37+AA38+AA40+AA41+AA42+AA13+Z65</f>
        <v>#REF!</v>
      </c>
      <c r="Z77" s="157" t="e">
        <f t="shared" si="11"/>
        <v>#REF!</v>
      </c>
    </row>
    <row r="78" spans="22:28">
      <c r="X78" s="170">
        <f>SUM(X69:X77)</f>
        <v>284903.73240000004</v>
      </c>
      <c r="Y78" s="170" t="e">
        <f>SUM(Y69:Y77)</f>
        <v>#REF!</v>
      </c>
      <c r="Z78" s="170" t="e">
        <f>SUM(Z69:Z77)</f>
        <v>#REF!</v>
      </c>
      <c r="AA78" s="53">
        <v>1928507</v>
      </c>
      <c r="AB78" s="53" t="e">
        <f>Z78-AA78</f>
        <v>#REF!</v>
      </c>
    </row>
    <row r="81" spans="1:32">
      <c r="V81" s="53" t="e">
        <f>Y73+Y74+Y75+Y76</f>
        <v>#REF!</v>
      </c>
      <c r="X81" s="156"/>
      <c r="Y81" s="156"/>
      <c r="Z81" s="156"/>
    </row>
    <row r="82" spans="1:32" s="53" customFormat="1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 s="158"/>
      <c r="W82"/>
      <c r="X82" s="157"/>
      <c r="Y82" s="157"/>
      <c r="Z82" s="157"/>
      <c r="AC82"/>
      <c r="AD82"/>
      <c r="AE82"/>
      <c r="AF82"/>
    </row>
    <row r="83" spans="1:32" s="53" customFormat="1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 s="158"/>
      <c r="W83"/>
      <c r="X83" s="157"/>
      <c r="Y83" s="157"/>
      <c r="Z83" s="157"/>
      <c r="AC83"/>
      <c r="AD83"/>
      <c r="AE83"/>
      <c r="AF83"/>
    </row>
    <row r="84" spans="1:32" s="53" customFormat="1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 s="158"/>
      <c r="W84"/>
      <c r="X84" s="157"/>
      <c r="Y84" s="157"/>
      <c r="Z84" s="157"/>
      <c r="AC84"/>
      <c r="AD84"/>
      <c r="AE84"/>
      <c r="AF84"/>
    </row>
    <row r="85" spans="1:32" s="53" customFormat="1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 s="158"/>
      <c r="W85"/>
      <c r="X85" s="157"/>
      <c r="Y85" s="157"/>
      <c r="Z85" s="157"/>
      <c r="AC85"/>
      <c r="AD85"/>
      <c r="AE85"/>
      <c r="AF85"/>
    </row>
    <row r="86" spans="1:32" s="53" customFormat="1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 s="158"/>
      <c r="W86"/>
      <c r="X86" s="157"/>
      <c r="Y86" s="157"/>
      <c r="Z86" s="157"/>
      <c r="AC86"/>
      <c r="AD86"/>
      <c r="AE86"/>
      <c r="AF86"/>
    </row>
    <row r="87" spans="1:32" s="53" customFormat="1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 s="158"/>
      <c r="W87"/>
      <c r="X87" s="157"/>
      <c r="Y87" s="157"/>
      <c r="Z87" s="157"/>
      <c r="AC87"/>
      <c r="AD87"/>
      <c r="AE87"/>
      <c r="AF87"/>
    </row>
    <row r="88" spans="1:32" s="53" customFormat="1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 s="158"/>
      <c r="W88"/>
      <c r="X88" s="157"/>
      <c r="Y88" s="157"/>
      <c r="Z88" s="157"/>
      <c r="AC88"/>
      <c r="AD88"/>
      <c r="AE88"/>
      <c r="AF88"/>
    </row>
    <row r="89" spans="1:32" s="53" customFormat="1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 s="158"/>
      <c r="W89"/>
      <c r="X89" s="157"/>
      <c r="Y89" s="157"/>
      <c r="Z89" s="157"/>
      <c r="AC89"/>
      <c r="AD89"/>
      <c r="AE89"/>
      <c r="AF89"/>
    </row>
    <row r="90" spans="1:32" s="53" customFormat="1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 s="158"/>
      <c r="W90"/>
      <c r="X90" s="157"/>
      <c r="Y90" s="157"/>
      <c r="Z90" s="157"/>
      <c r="AC90"/>
      <c r="AD90"/>
      <c r="AE90"/>
      <c r="AF90"/>
    </row>
    <row r="91" spans="1:32" s="53" customFormat="1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 s="157"/>
      <c r="Y91" s="157"/>
      <c r="Z91" s="157"/>
      <c r="AC91"/>
      <c r="AD91"/>
      <c r="AE91"/>
      <c r="AF91"/>
    </row>
  </sheetData>
  <mergeCells count="17">
    <mergeCell ref="AA5:AA6"/>
    <mergeCell ref="V52:Y52"/>
    <mergeCell ref="B2:Z2"/>
    <mergeCell ref="V4:Y4"/>
    <mergeCell ref="B5:B6"/>
    <mergeCell ref="C5:C6"/>
    <mergeCell ref="D5:D6"/>
    <mergeCell ref="E5:E6"/>
    <mergeCell ref="F5:F6"/>
    <mergeCell ref="G5:R5"/>
    <mergeCell ref="S5:S6"/>
    <mergeCell ref="T5:T6"/>
    <mergeCell ref="V54:Y54"/>
    <mergeCell ref="V56:Y56"/>
    <mergeCell ref="U5:U6"/>
    <mergeCell ref="V5:Y5"/>
    <mergeCell ref="Z5:Z6"/>
  </mergeCells>
  <pageMargins left="0.51181102362204722" right="0.11811023622047245" top="0.35433070866141736" bottom="0.55118110236220474" header="0.31496062992125984" footer="0.31496062992125984"/>
  <pageSetup scale="60" orientation="landscape" verticalDpi="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F91"/>
  <sheetViews>
    <sheetView workbookViewId="0"/>
  </sheetViews>
  <sheetFormatPr baseColWidth="10" defaultRowHeight="14.4"/>
  <cols>
    <col min="1" max="1" width="4.89453125" customWidth="1"/>
    <col min="2" max="2" width="30.41796875" customWidth="1"/>
    <col min="3" max="3" width="5.41796875" customWidth="1"/>
    <col min="4" max="5" width="7.41796875" customWidth="1"/>
    <col min="6" max="6" width="9.5234375" customWidth="1"/>
    <col min="7" max="8" width="4.89453125" customWidth="1"/>
    <col min="9" max="18" width="4.5234375" customWidth="1"/>
    <col min="19" max="20" width="7.5234375" customWidth="1"/>
    <col min="21" max="21" width="14" customWidth="1"/>
    <col min="22" max="22" width="13.41796875" customWidth="1"/>
    <col min="23" max="23" width="11.5234375" customWidth="1"/>
    <col min="24" max="24" width="11.68359375" customWidth="1"/>
    <col min="25" max="25" width="12.41796875" customWidth="1"/>
    <col min="26" max="26" width="16" customWidth="1"/>
    <col min="27" max="27" width="17.3125" style="53" customWidth="1"/>
    <col min="28" max="28" width="15.5234375" style="53" customWidth="1"/>
  </cols>
  <sheetData>
    <row r="2" spans="1:28" s="1" customFormat="1" ht="51" customHeight="1">
      <c r="B2" s="337" t="s">
        <v>166</v>
      </c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337"/>
      <c r="P2" s="337"/>
      <c r="Q2" s="337"/>
      <c r="R2" s="337"/>
      <c r="S2" s="337"/>
      <c r="T2" s="337"/>
      <c r="U2" s="337"/>
      <c r="V2" s="337"/>
      <c r="W2" s="337"/>
      <c r="X2" s="337"/>
      <c r="Y2" s="337"/>
      <c r="Z2" s="337"/>
      <c r="AA2" s="56"/>
      <c r="AB2" s="56"/>
    </row>
    <row r="3" spans="1:28" s="1" customFormat="1">
      <c r="B3" s="2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AA3" s="56"/>
      <c r="AB3" s="56"/>
    </row>
    <row r="4" spans="1:28" s="1" customFormat="1">
      <c r="B4" s="4"/>
      <c r="C4" s="5"/>
      <c r="D4" s="5"/>
      <c r="E4" s="5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6"/>
      <c r="V4" s="338"/>
      <c r="W4" s="338"/>
      <c r="X4" s="338"/>
      <c r="Y4" s="338"/>
      <c r="AA4" s="56"/>
      <c r="AB4" s="56"/>
    </row>
    <row r="5" spans="1:28" s="1" customFormat="1" ht="13.35" customHeight="1">
      <c r="B5" s="332" t="s">
        <v>1</v>
      </c>
      <c r="C5" s="332" t="s">
        <v>2</v>
      </c>
      <c r="D5" s="339" t="s">
        <v>3</v>
      </c>
      <c r="E5" s="333" t="s">
        <v>4</v>
      </c>
      <c r="F5" s="332" t="s">
        <v>5</v>
      </c>
      <c r="G5" s="341" t="s">
        <v>6</v>
      </c>
      <c r="H5" s="342"/>
      <c r="I5" s="342"/>
      <c r="J5" s="342"/>
      <c r="K5" s="342"/>
      <c r="L5" s="342"/>
      <c r="M5" s="342"/>
      <c r="N5" s="342"/>
      <c r="O5" s="342"/>
      <c r="P5" s="342"/>
      <c r="Q5" s="342"/>
      <c r="R5" s="343"/>
      <c r="S5" s="332" t="s">
        <v>7</v>
      </c>
      <c r="T5" s="339" t="s">
        <v>8</v>
      </c>
      <c r="U5" s="332" t="s">
        <v>9</v>
      </c>
      <c r="V5" s="333" t="s">
        <v>10</v>
      </c>
      <c r="W5" s="333"/>
      <c r="X5" s="333"/>
      <c r="Y5" s="333"/>
      <c r="Z5" s="334" t="s">
        <v>50</v>
      </c>
      <c r="AA5" s="335" t="s">
        <v>51</v>
      </c>
      <c r="AB5" s="56"/>
    </row>
    <row r="6" spans="1:28" s="1" customFormat="1" ht="24.75" customHeight="1">
      <c r="B6" s="332"/>
      <c r="C6" s="332"/>
      <c r="D6" s="340"/>
      <c r="E6" s="333"/>
      <c r="F6" s="332"/>
      <c r="G6" s="135" t="s">
        <v>11</v>
      </c>
      <c r="H6" s="136" t="s">
        <v>12</v>
      </c>
      <c r="I6" s="136" t="s">
        <v>13</v>
      </c>
      <c r="J6" s="136" t="s">
        <v>14</v>
      </c>
      <c r="K6" s="136" t="s">
        <v>15</v>
      </c>
      <c r="L6" s="136" t="s">
        <v>16</v>
      </c>
      <c r="M6" s="136" t="s">
        <v>17</v>
      </c>
      <c r="N6" s="136" t="s">
        <v>18</v>
      </c>
      <c r="O6" s="136" t="s">
        <v>19</v>
      </c>
      <c r="P6" s="136" t="s">
        <v>20</v>
      </c>
      <c r="Q6" s="136" t="s">
        <v>21</v>
      </c>
      <c r="R6" s="136" t="s">
        <v>22</v>
      </c>
      <c r="S6" s="332"/>
      <c r="T6" s="340"/>
      <c r="U6" s="332"/>
      <c r="V6" s="137" t="s">
        <v>23</v>
      </c>
      <c r="W6" s="138" t="s">
        <v>24</v>
      </c>
      <c r="X6" s="138" t="s">
        <v>25</v>
      </c>
      <c r="Y6" s="138" t="s">
        <v>26</v>
      </c>
      <c r="Z6" s="334"/>
      <c r="AA6" s="335"/>
      <c r="AB6" s="56"/>
    </row>
    <row r="7" spans="1:28" s="1" customFormat="1">
      <c r="B7" s="4"/>
      <c r="C7" s="5"/>
      <c r="D7" s="5"/>
      <c r="E7" s="5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6"/>
      <c r="V7" s="6"/>
      <c r="W7" s="6"/>
      <c r="X7" s="6"/>
      <c r="Y7" s="6"/>
      <c r="Z7" s="8"/>
      <c r="AA7" s="56"/>
      <c r="AB7" s="56"/>
    </row>
    <row r="8" spans="1:28" s="1" customFormat="1">
      <c r="B8" s="139" t="s">
        <v>27</v>
      </c>
      <c r="C8" s="140"/>
      <c r="D8" s="140"/>
      <c r="E8" s="140"/>
      <c r="F8" s="141"/>
      <c r="G8" s="141"/>
      <c r="H8" s="141"/>
      <c r="I8" s="141"/>
      <c r="J8" s="141"/>
      <c r="K8" s="141"/>
      <c r="L8" s="141"/>
      <c r="M8" s="141"/>
      <c r="N8" s="141"/>
      <c r="O8" s="141"/>
      <c r="P8" s="141"/>
      <c r="Q8" s="141"/>
      <c r="R8" s="141"/>
      <c r="S8" s="141"/>
      <c r="T8" s="141"/>
      <c r="U8" s="141"/>
      <c r="V8" s="141"/>
      <c r="W8" s="141"/>
      <c r="X8" s="141"/>
      <c r="Y8" s="141"/>
      <c r="Z8" s="142"/>
      <c r="AA8" s="56"/>
      <c r="AB8" s="56"/>
    </row>
    <row r="9" spans="1:28" s="1" customFormat="1">
      <c r="B9" s="9"/>
      <c r="C9" s="10"/>
      <c r="D9" s="10"/>
      <c r="E9" s="10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2"/>
      <c r="AA9" s="56"/>
      <c r="AB9" s="56"/>
    </row>
    <row r="10" spans="1:28" s="1" customFormat="1">
      <c r="A10" s="1">
        <v>1</v>
      </c>
      <c r="B10" s="13" t="s">
        <v>28</v>
      </c>
      <c r="C10" s="14" t="s">
        <v>29</v>
      </c>
      <c r="D10" s="14">
        <v>2022</v>
      </c>
      <c r="E10" s="15" t="s">
        <v>30</v>
      </c>
      <c r="F10" s="16">
        <v>19535</v>
      </c>
      <c r="G10" s="17">
        <v>30</v>
      </c>
      <c r="H10" s="17">
        <v>30</v>
      </c>
      <c r="I10" s="17">
        <v>30</v>
      </c>
      <c r="J10" s="17">
        <v>30</v>
      </c>
      <c r="K10" s="17">
        <v>30</v>
      </c>
      <c r="L10" s="17">
        <v>30</v>
      </c>
      <c r="M10" s="17">
        <v>30</v>
      </c>
      <c r="N10" s="17">
        <v>30</v>
      </c>
      <c r="O10" s="17">
        <v>30</v>
      </c>
      <c r="P10" s="17">
        <v>30</v>
      </c>
      <c r="Q10" s="17">
        <v>30</v>
      </c>
      <c r="R10" s="17">
        <v>30</v>
      </c>
      <c r="S10" s="15">
        <f>SUM(G10:R10)</f>
        <v>360</v>
      </c>
      <c r="T10" s="18">
        <f>+S10/30</f>
        <v>12</v>
      </c>
      <c r="U10" s="16">
        <f>ROUND(PRODUCT(F10*T10),0)</f>
        <v>234420</v>
      </c>
      <c r="V10" s="16">
        <f>U10*0.1</f>
        <v>23442</v>
      </c>
      <c r="W10" s="16">
        <f>U10*0.0171</f>
        <v>4008.5820000000003</v>
      </c>
      <c r="X10" s="16">
        <f>U10*0.03</f>
        <v>7032.5999999999995</v>
      </c>
      <c r="Y10" s="19">
        <f>U10*0.02</f>
        <v>4688.4000000000005</v>
      </c>
      <c r="Z10" s="17">
        <f>SUM(U10:Y10)</f>
        <v>273591.58199999999</v>
      </c>
      <c r="AA10" s="56">
        <f>+F10*S10/360</f>
        <v>19535</v>
      </c>
      <c r="AB10" s="56">
        <f>+AA10+Z10</f>
        <v>293126.58199999999</v>
      </c>
    </row>
    <row r="11" spans="1:28" s="1" customFormat="1">
      <c r="B11" s="143" t="s">
        <v>31</v>
      </c>
      <c r="C11" s="144"/>
      <c r="D11" s="144"/>
      <c r="E11" s="145"/>
      <c r="F11" s="146"/>
      <c r="G11" s="146"/>
      <c r="H11" s="146"/>
      <c r="I11" s="146"/>
      <c r="J11" s="146"/>
      <c r="K11" s="146"/>
      <c r="L11" s="146"/>
      <c r="M11" s="146"/>
      <c r="N11" s="146"/>
      <c r="O11" s="146"/>
      <c r="P11" s="146"/>
      <c r="Q11" s="146"/>
      <c r="R11" s="146"/>
      <c r="S11" s="145"/>
      <c r="T11" s="147"/>
      <c r="U11" s="148"/>
      <c r="V11" s="149"/>
      <c r="W11" s="149"/>
      <c r="X11" s="149"/>
      <c r="Y11" s="150"/>
      <c r="Z11" s="149"/>
      <c r="AA11" s="56"/>
      <c r="AB11" s="56">
        <f t="shared" ref="AB11:AB44" si="0">+AA11+Z11</f>
        <v>0</v>
      </c>
    </row>
    <row r="12" spans="1:28" s="166" customFormat="1" ht="20.399999999999999">
      <c r="A12" s="166">
        <f>A10+1</f>
        <v>2</v>
      </c>
      <c r="B12" s="159" t="s">
        <v>241</v>
      </c>
      <c r="C12" s="160" t="s">
        <v>32</v>
      </c>
      <c r="D12" s="160">
        <v>2022</v>
      </c>
      <c r="E12" s="161" t="s">
        <v>30</v>
      </c>
      <c r="F12" s="162">
        <v>9282</v>
      </c>
      <c r="G12" s="163">
        <v>29</v>
      </c>
      <c r="H12" s="163">
        <v>30</v>
      </c>
      <c r="I12" s="163">
        <v>30</v>
      </c>
      <c r="J12" s="163">
        <v>30</v>
      </c>
      <c r="K12" s="163">
        <v>30</v>
      </c>
      <c r="L12" s="163">
        <v>30</v>
      </c>
      <c r="M12" s="163">
        <v>30</v>
      </c>
      <c r="N12" s="163">
        <v>30</v>
      </c>
      <c r="O12" s="163">
        <v>30</v>
      </c>
      <c r="P12" s="163">
        <v>30</v>
      </c>
      <c r="Q12" s="163">
        <v>30</v>
      </c>
      <c r="R12" s="163">
        <v>30</v>
      </c>
      <c r="S12" s="161">
        <f>SUM(G12:R12)</f>
        <v>359</v>
      </c>
      <c r="T12" s="164">
        <f t="shared" ref="T12:T30" si="1">+S12/30</f>
        <v>11.966666666666667</v>
      </c>
      <c r="U12" s="162">
        <f>ROUND(PRODUCT(F12*T12),0)</f>
        <v>111075</v>
      </c>
      <c r="V12" s="163">
        <f>U12*0.1</f>
        <v>11107.5</v>
      </c>
      <c r="W12" s="163">
        <f>U12*0.0171</f>
        <v>1899.3825000000002</v>
      </c>
      <c r="X12" s="163">
        <f>U12*0.03</f>
        <v>3332.25</v>
      </c>
      <c r="Y12" s="165">
        <f>U12*0.02</f>
        <v>2221.5</v>
      </c>
      <c r="Z12" s="163">
        <f>SUM(U12:Y12)</f>
        <v>129635.63250000001</v>
      </c>
      <c r="AA12" s="167">
        <f t="shared" ref="AA12:AA17" si="2">+F12*S12/360</f>
        <v>9256.2166666666672</v>
      </c>
      <c r="AB12" s="167">
        <f t="shared" si="0"/>
        <v>138891.84916666668</v>
      </c>
    </row>
    <row r="13" spans="1:28" s="1" customFormat="1" ht="21" customHeight="1">
      <c r="A13" s="1">
        <f>A11+1</f>
        <v>1</v>
      </c>
      <c r="B13" s="13" t="s">
        <v>242</v>
      </c>
      <c r="C13" s="14" t="s">
        <v>32</v>
      </c>
      <c r="D13" s="14">
        <v>2022</v>
      </c>
      <c r="E13" s="15" t="s">
        <v>30</v>
      </c>
      <c r="F13" s="29">
        <v>5494</v>
      </c>
      <c r="G13" s="17">
        <v>0</v>
      </c>
      <c r="H13" s="17">
        <v>30</v>
      </c>
      <c r="I13" s="17">
        <v>30</v>
      </c>
      <c r="J13" s="17">
        <v>30</v>
      </c>
      <c r="K13" s="17">
        <v>30</v>
      </c>
      <c r="L13" s="17">
        <v>30</v>
      </c>
      <c r="M13" s="17">
        <v>30</v>
      </c>
      <c r="N13" s="17">
        <v>30</v>
      </c>
      <c r="O13" s="17">
        <v>30</v>
      </c>
      <c r="P13" s="17">
        <v>30</v>
      </c>
      <c r="Q13" s="17">
        <v>30</v>
      </c>
      <c r="R13" s="17">
        <v>30</v>
      </c>
      <c r="S13" s="15">
        <f t="shared" ref="S13:S43" si="3">SUM(G13:R13)</f>
        <v>330</v>
      </c>
      <c r="T13" s="18">
        <f t="shared" si="1"/>
        <v>11</v>
      </c>
      <c r="U13" s="16">
        <f>ROUND(PRODUCT(F13*T13),0)</f>
        <v>60434</v>
      </c>
      <c r="V13" s="17">
        <f>U13*0.1</f>
        <v>6043.4000000000005</v>
      </c>
      <c r="W13" s="17">
        <f>U13*0.0171</f>
        <v>1033.4213999999999</v>
      </c>
      <c r="X13" s="17">
        <f>U13*0.03</f>
        <v>1813.02</v>
      </c>
      <c r="Y13" s="19">
        <f>U13*0.02</f>
        <v>1208.68</v>
      </c>
      <c r="Z13" s="17">
        <f>SUM(U13:Y13)</f>
        <v>70532.521399999998</v>
      </c>
      <c r="AA13" s="167">
        <f t="shared" si="2"/>
        <v>5036.166666666667</v>
      </c>
      <c r="AB13" s="56">
        <f t="shared" si="0"/>
        <v>75568.688066666669</v>
      </c>
    </row>
    <row r="14" spans="1:28" s="1" customFormat="1" ht="30.75" customHeight="1">
      <c r="A14" s="1">
        <f>A12+1</f>
        <v>3</v>
      </c>
      <c r="B14" s="13" t="s">
        <v>219</v>
      </c>
      <c r="C14" s="14" t="s">
        <v>32</v>
      </c>
      <c r="D14" s="14">
        <v>2022</v>
      </c>
      <c r="E14" s="15" t="s">
        <v>30</v>
      </c>
      <c r="F14" s="16">
        <v>5971</v>
      </c>
      <c r="G14" s="17">
        <v>15</v>
      </c>
      <c r="H14" s="17">
        <v>30</v>
      </c>
      <c r="I14" s="17">
        <v>30</v>
      </c>
      <c r="J14" s="17">
        <v>30</v>
      </c>
      <c r="K14" s="17">
        <v>30</v>
      </c>
      <c r="L14" s="17">
        <v>30</v>
      </c>
      <c r="M14" s="17">
        <v>30</v>
      </c>
      <c r="N14" s="17">
        <v>30</v>
      </c>
      <c r="O14" s="17">
        <v>30</v>
      </c>
      <c r="P14" s="17">
        <v>30</v>
      </c>
      <c r="Q14" s="17">
        <v>30</v>
      </c>
      <c r="R14" s="17">
        <v>30</v>
      </c>
      <c r="S14" s="15">
        <f t="shared" si="3"/>
        <v>345</v>
      </c>
      <c r="T14" s="18">
        <f t="shared" si="1"/>
        <v>11.5</v>
      </c>
      <c r="U14" s="16">
        <f>ROUND(PRODUCT(F14*T14),0)</f>
        <v>68667</v>
      </c>
      <c r="V14" s="17">
        <f>U14*0.1</f>
        <v>6866.7000000000007</v>
      </c>
      <c r="W14" s="17">
        <f>U14*0.0171</f>
        <v>1174.2057</v>
      </c>
      <c r="X14" s="17">
        <f>U14*0.03</f>
        <v>2060.0099999999998</v>
      </c>
      <c r="Y14" s="19">
        <f>U14*0.02</f>
        <v>1373.34</v>
      </c>
      <c r="Z14" s="17">
        <f>SUM(U14:Y14)</f>
        <v>80141.255699999994</v>
      </c>
      <c r="AA14" s="167">
        <f t="shared" si="2"/>
        <v>5722.208333333333</v>
      </c>
      <c r="AB14" s="56">
        <f t="shared" si="0"/>
        <v>85863.464033333323</v>
      </c>
    </row>
    <row r="15" spans="1:28" s="1" customFormat="1">
      <c r="A15" s="1">
        <f>A14+1</f>
        <v>4</v>
      </c>
      <c r="B15" s="13" t="s">
        <v>220</v>
      </c>
      <c r="C15" s="27" t="s">
        <v>32</v>
      </c>
      <c r="D15" s="14">
        <v>2022</v>
      </c>
      <c r="E15" s="28" t="s">
        <v>30</v>
      </c>
      <c r="F15" s="29">
        <v>8689</v>
      </c>
      <c r="G15" s="30">
        <v>0</v>
      </c>
      <c r="H15" s="30">
        <v>30</v>
      </c>
      <c r="I15" s="30">
        <v>30</v>
      </c>
      <c r="J15" s="30">
        <v>30</v>
      </c>
      <c r="K15" s="30">
        <v>30</v>
      </c>
      <c r="L15" s="30">
        <v>30</v>
      </c>
      <c r="M15" s="30">
        <v>30</v>
      </c>
      <c r="N15" s="30">
        <v>30</v>
      </c>
      <c r="O15" s="30">
        <v>30</v>
      </c>
      <c r="P15" s="30">
        <v>30</v>
      </c>
      <c r="Q15" s="30">
        <v>30</v>
      </c>
      <c r="R15" s="30">
        <v>30</v>
      </c>
      <c r="S15" s="15">
        <f t="shared" si="3"/>
        <v>330</v>
      </c>
      <c r="T15" s="18">
        <f t="shared" si="1"/>
        <v>11</v>
      </c>
      <c r="U15" s="16">
        <f>ROUND(PRODUCT(F15*T15),0)</f>
        <v>95579</v>
      </c>
      <c r="V15" s="17">
        <f>U15*0.1</f>
        <v>9557.9</v>
      </c>
      <c r="W15" s="17">
        <f>U15*0.0171</f>
        <v>1634.4009000000001</v>
      </c>
      <c r="X15" s="17">
        <f>U15*0.03</f>
        <v>2867.37</v>
      </c>
      <c r="Y15" s="19">
        <f>U15*0.02</f>
        <v>1911.58</v>
      </c>
      <c r="Z15" s="17">
        <f>SUM(U15:Y15)</f>
        <v>111550.25089999998</v>
      </c>
      <c r="AA15" s="167">
        <f t="shared" si="2"/>
        <v>7964.916666666667</v>
      </c>
      <c r="AB15" s="56">
        <f t="shared" si="0"/>
        <v>119515.16756666666</v>
      </c>
    </row>
    <row r="16" spans="1:28" s="1" customFormat="1">
      <c r="B16" s="151" t="s">
        <v>34</v>
      </c>
      <c r="C16" s="152"/>
      <c r="D16" s="152"/>
      <c r="E16" s="152"/>
      <c r="F16" s="152"/>
      <c r="G16" s="152"/>
      <c r="H16" s="152"/>
      <c r="I16" s="152"/>
      <c r="J16" s="152"/>
      <c r="K16" s="152"/>
      <c r="L16" s="152"/>
      <c r="M16" s="152"/>
      <c r="N16" s="152"/>
      <c r="O16" s="152"/>
      <c r="P16" s="152"/>
      <c r="Q16" s="152"/>
      <c r="R16" s="152"/>
      <c r="S16" s="152"/>
      <c r="T16" s="147"/>
      <c r="U16" s="148"/>
      <c r="V16" s="152"/>
      <c r="W16" s="152"/>
      <c r="X16" s="152"/>
      <c r="Y16" s="152"/>
      <c r="Z16" s="149"/>
      <c r="AA16" s="56"/>
      <c r="AB16" s="56">
        <f t="shared" si="0"/>
        <v>0</v>
      </c>
    </row>
    <row r="17" spans="1:28" s="1" customFormat="1">
      <c r="A17" s="1">
        <f>A15+1</f>
        <v>5</v>
      </c>
      <c r="B17" s="13" t="s">
        <v>221</v>
      </c>
      <c r="C17" s="14" t="s">
        <v>32</v>
      </c>
      <c r="D17" s="14">
        <v>2022</v>
      </c>
      <c r="E17" s="15" t="s">
        <v>30</v>
      </c>
      <c r="F17" s="29">
        <v>9282</v>
      </c>
      <c r="G17" s="17">
        <v>26</v>
      </c>
      <c r="H17" s="17">
        <v>30</v>
      </c>
      <c r="I17" s="17">
        <v>30</v>
      </c>
      <c r="J17" s="17">
        <v>30</v>
      </c>
      <c r="K17" s="17">
        <v>30</v>
      </c>
      <c r="L17" s="17">
        <v>30</v>
      </c>
      <c r="M17" s="17">
        <v>30</v>
      </c>
      <c r="N17" s="17">
        <v>30</v>
      </c>
      <c r="O17" s="17">
        <v>30</v>
      </c>
      <c r="P17" s="17">
        <v>30</v>
      </c>
      <c r="Q17" s="17">
        <v>30</v>
      </c>
      <c r="R17" s="17">
        <v>30</v>
      </c>
      <c r="S17" s="15">
        <f t="shared" si="3"/>
        <v>356</v>
      </c>
      <c r="T17" s="18">
        <f t="shared" si="1"/>
        <v>11.866666666666667</v>
      </c>
      <c r="U17" s="16">
        <f>ROUND(PRODUCT(F17*T17),0)</f>
        <v>110146</v>
      </c>
      <c r="V17" s="17">
        <f>U17*0.1</f>
        <v>11014.6</v>
      </c>
      <c r="W17" s="17">
        <f>U17*0.0171</f>
        <v>1883.4966000000002</v>
      </c>
      <c r="X17" s="17">
        <f>U17*0.03</f>
        <v>3304.3799999999997</v>
      </c>
      <c r="Y17" s="19">
        <f>U17*0.02</f>
        <v>2202.92</v>
      </c>
      <c r="Z17" s="17">
        <f>SUM(U17:Y17)</f>
        <v>128551.39660000001</v>
      </c>
      <c r="AA17" s="167">
        <f t="shared" si="2"/>
        <v>9178.8666666666668</v>
      </c>
      <c r="AB17" s="56">
        <f t="shared" si="0"/>
        <v>137730.26326666668</v>
      </c>
    </row>
    <row r="18" spans="1:28" s="1" customFormat="1" ht="21">
      <c r="B18" s="143" t="s">
        <v>167</v>
      </c>
      <c r="C18" s="144"/>
      <c r="D18" s="144"/>
      <c r="E18" s="145"/>
      <c r="F18" s="146"/>
      <c r="G18" s="149"/>
      <c r="H18" s="149"/>
      <c r="I18" s="149"/>
      <c r="J18" s="149"/>
      <c r="K18" s="149"/>
      <c r="L18" s="149"/>
      <c r="M18" s="149"/>
      <c r="N18" s="149"/>
      <c r="O18" s="149"/>
      <c r="P18" s="149"/>
      <c r="Q18" s="149"/>
      <c r="R18" s="149"/>
      <c r="S18" s="145"/>
      <c r="T18" s="147"/>
      <c r="U18" s="146"/>
      <c r="V18" s="149"/>
      <c r="W18" s="149"/>
      <c r="X18" s="149"/>
      <c r="Y18" s="150"/>
      <c r="Z18" s="149"/>
      <c r="AA18" s="56"/>
      <c r="AB18" s="56"/>
    </row>
    <row r="19" spans="1:28" s="1" customFormat="1" ht="26.25" customHeight="1">
      <c r="A19" s="1">
        <f>A17+1</f>
        <v>6</v>
      </c>
      <c r="B19" s="13" t="s">
        <v>222</v>
      </c>
      <c r="C19" s="14" t="s">
        <v>32</v>
      </c>
      <c r="D19" s="14">
        <v>2022</v>
      </c>
      <c r="E19" s="15" t="s">
        <v>30</v>
      </c>
      <c r="F19" s="16">
        <v>13738</v>
      </c>
      <c r="G19" s="17">
        <v>26</v>
      </c>
      <c r="H19" s="17">
        <v>30</v>
      </c>
      <c r="I19" s="17">
        <v>30</v>
      </c>
      <c r="J19" s="17">
        <v>30</v>
      </c>
      <c r="K19" s="17">
        <v>30</v>
      </c>
      <c r="L19" s="17">
        <v>30</v>
      </c>
      <c r="M19" s="17">
        <v>30</v>
      </c>
      <c r="N19" s="17">
        <v>30</v>
      </c>
      <c r="O19" s="17">
        <v>30</v>
      </c>
      <c r="P19" s="17">
        <v>30</v>
      </c>
      <c r="Q19" s="17">
        <v>30</v>
      </c>
      <c r="R19" s="17">
        <v>30</v>
      </c>
      <c r="S19" s="15">
        <f t="shared" si="3"/>
        <v>356</v>
      </c>
      <c r="T19" s="18">
        <f>+S19/30</f>
        <v>11.866666666666667</v>
      </c>
      <c r="U19" s="16">
        <f>ROUND(PRODUCT(F19*T19),0)</f>
        <v>163024</v>
      </c>
      <c r="V19" s="17">
        <f>U19*0.1</f>
        <v>16302.400000000001</v>
      </c>
      <c r="W19" s="17">
        <f>U19*0.0171</f>
        <v>2787.7103999999999</v>
      </c>
      <c r="X19" s="17">
        <f>U19*0.03</f>
        <v>4890.72</v>
      </c>
      <c r="Y19" s="19">
        <f>U19*0.02</f>
        <v>3260.48</v>
      </c>
      <c r="Z19" s="17">
        <f>SUM(U19:Y19)</f>
        <v>190265.31040000002</v>
      </c>
      <c r="AA19" s="56">
        <f>+F19*S19/360</f>
        <v>13585.355555555556</v>
      </c>
      <c r="AB19" s="56">
        <f>+AA19+Z19</f>
        <v>203850.66595555557</v>
      </c>
    </row>
    <row r="20" spans="1:28" s="1" customFormat="1" ht="26.25" customHeight="1">
      <c r="A20" s="1">
        <f>A19+1</f>
        <v>7</v>
      </c>
      <c r="B20" s="13" t="s">
        <v>223</v>
      </c>
      <c r="C20" s="14" t="s">
        <v>32</v>
      </c>
      <c r="D20" s="14">
        <v>2022</v>
      </c>
      <c r="E20" s="15" t="s">
        <v>30</v>
      </c>
      <c r="F20" s="16">
        <v>8689</v>
      </c>
      <c r="G20" s="17">
        <v>0</v>
      </c>
      <c r="H20" s="17">
        <v>30</v>
      </c>
      <c r="I20" s="17">
        <v>30</v>
      </c>
      <c r="J20" s="17">
        <v>30</v>
      </c>
      <c r="K20" s="17">
        <v>30</v>
      </c>
      <c r="L20" s="17">
        <v>30</v>
      </c>
      <c r="M20" s="17">
        <v>30</v>
      </c>
      <c r="N20" s="17">
        <v>30</v>
      </c>
      <c r="O20" s="17">
        <v>30</v>
      </c>
      <c r="P20" s="17">
        <v>30</v>
      </c>
      <c r="Q20" s="17">
        <v>0</v>
      </c>
      <c r="R20" s="17">
        <v>0</v>
      </c>
      <c r="S20" s="15">
        <f t="shared" si="3"/>
        <v>270</v>
      </c>
      <c r="T20" s="18">
        <f>+S20/30</f>
        <v>9</v>
      </c>
      <c r="U20" s="16">
        <f>ROUND(PRODUCT(F20*T20),0)</f>
        <v>78201</v>
      </c>
      <c r="V20" s="17">
        <f>U20*0.1</f>
        <v>7820.1</v>
      </c>
      <c r="W20" s="17">
        <f>U20*0.0171</f>
        <v>1337.2371000000001</v>
      </c>
      <c r="X20" s="17">
        <f>U20*0.03</f>
        <v>2346.0299999999997</v>
      </c>
      <c r="Y20" s="19">
        <f>U20*0.02</f>
        <v>1564.02</v>
      </c>
      <c r="Z20" s="17">
        <f>SUM(U20:Y20)</f>
        <v>91268.387100000007</v>
      </c>
      <c r="AA20" s="56">
        <f>+F20*S20/360</f>
        <v>6516.75</v>
      </c>
      <c r="AB20" s="56"/>
    </row>
    <row r="21" spans="1:28" s="1" customFormat="1" ht="26.25" customHeight="1">
      <c r="A21" s="1">
        <f>A20+1</f>
        <v>8</v>
      </c>
      <c r="B21" s="159" t="s">
        <v>224</v>
      </c>
      <c r="C21" s="160" t="s">
        <v>207</v>
      </c>
      <c r="D21" s="160">
        <v>2022</v>
      </c>
      <c r="E21" s="161" t="s">
        <v>30</v>
      </c>
      <c r="F21" s="16">
        <v>8689</v>
      </c>
      <c r="G21" s="163">
        <v>0</v>
      </c>
      <c r="H21" s="163">
        <v>30</v>
      </c>
      <c r="I21" s="163">
        <v>30</v>
      </c>
      <c r="J21" s="163">
        <v>30</v>
      </c>
      <c r="K21" s="163">
        <v>30</v>
      </c>
      <c r="L21" s="163">
        <v>30</v>
      </c>
      <c r="M21" s="163">
        <v>30</v>
      </c>
      <c r="N21" s="163">
        <v>30</v>
      </c>
      <c r="O21" s="163">
        <v>30</v>
      </c>
      <c r="P21" s="163">
        <v>30</v>
      </c>
      <c r="Q21" s="163">
        <v>30</v>
      </c>
      <c r="R21" s="163">
        <v>30</v>
      </c>
      <c r="S21" s="161">
        <f t="shared" si="3"/>
        <v>330</v>
      </c>
      <c r="T21" s="164">
        <f>+S21/30</f>
        <v>11</v>
      </c>
      <c r="U21" s="162">
        <f>ROUND(PRODUCT(F21*T21),0)</f>
        <v>95579</v>
      </c>
      <c r="V21" s="163">
        <f>U21*0.1</f>
        <v>9557.9</v>
      </c>
      <c r="W21" s="163">
        <f>U21*0.0171</f>
        <v>1634.4009000000001</v>
      </c>
      <c r="X21" s="163">
        <f>U21*0.03</f>
        <v>2867.37</v>
      </c>
      <c r="Y21" s="165">
        <f>U21*0.02</f>
        <v>1911.58</v>
      </c>
      <c r="Z21" s="163">
        <f>SUM(U21:Y21)</f>
        <v>111550.25089999998</v>
      </c>
      <c r="AA21" s="56">
        <f>+F21*S21/360</f>
        <v>7964.916666666667</v>
      </c>
      <c r="AB21" s="56"/>
    </row>
    <row r="22" spans="1:28" s="1" customFormat="1" ht="26.25" customHeight="1">
      <c r="A22" s="1">
        <f>A21+1</f>
        <v>9</v>
      </c>
      <c r="B22" s="13" t="s">
        <v>225</v>
      </c>
      <c r="C22" s="14" t="s">
        <v>32</v>
      </c>
      <c r="D22" s="14">
        <v>2022</v>
      </c>
      <c r="E22" s="15" t="s">
        <v>30</v>
      </c>
      <c r="F22" s="16">
        <v>8689</v>
      </c>
      <c r="G22" s="17">
        <v>0</v>
      </c>
      <c r="H22" s="17">
        <v>30</v>
      </c>
      <c r="I22" s="17">
        <v>30</v>
      </c>
      <c r="J22" s="17">
        <v>30</v>
      </c>
      <c r="K22" s="17">
        <v>30</v>
      </c>
      <c r="L22" s="17">
        <v>30</v>
      </c>
      <c r="M22" s="17">
        <v>30</v>
      </c>
      <c r="N22" s="17">
        <v>30</v>
      </c>
      <c r="O22" s="17">
        <v>30</v>
      </c>
      <c r="P22" s="17">
        <v>30</v>
      </c>
      <c r="Q22" s="17">
        <v>30</v>
      </c>
      <c r="R22" s="17">
        <v>30</v>
      </c>
      <c r="S22" s="15">
        <f t="shared" si="3"/>
        <v>330</v>
      </c>
      <c r="T22" s="18">
        <f>+S22/30</f>
        <v>11</v>
      </c>
      <c r="U22" s="16">
        <f>ROUND(PRODUCT(F22*T22),0)</f>
        <v>95579</v>
      </c>
      <c r="V22" s="17">
        <f>U22*0.1</f>
        <v>9557.9</v>
      </c>
      <c r="W22" s="17">
        <f>U22*0.0171</f>
        <v>1634.4009000000001</v>
      </c>
      <c r="X22" s="17">
        <f>U22*0.03</f>
        <v>2867.37</v>
      </c>
      <c r="Y22" s="19">
        <f>U22*0.02</f>
        <v>1911.58</v>
      </c>
      <c r="Z22" s="17">
        <f>SUM(U22:Y22)</f>
        <v>111550.25089999998</v>
      </c>
      <c r="AA22" s="56">
        <f>+F22*S22/360</f>
        <v>7964.916666666667</v>
      </c>
      <c r="AB22" s="56"/>
    </row>
    <row r="23" spans="1:28" s="1" customFormat="1" ht="26.25" customHeight="1">
      <c r="A23" s="1">
        <f>A22+1</f>
        <v>10</v>
      </c>
      <c r="B23" s="159" t="s">
        <v>226</v>
      </c>
      <c r="C23" s="160" t="s">
        <v>207</v>
      </c>
      <c r="D23" s="160">
        <v>2022</v>
      </c>
      <c r="E23" s="161" t="s">
        <v>30</v>
      </c>
      <c r="F23" s="16">
        <v>8689</v>
      </c>
      <c r="G23" s="163">
        <v>0</v>
      </c>
      <c r="H23" s="163">
        <v>30</v>
      </c>
      <c r="I23" s="163">
        <v>30</v>
      </c>
      <c r="J23" s="163">
        <v>30</v>
      </c>
      <c r="K23" s="163">
        <v>30</v>
      </c>
      <c r="L23" s="163">
        <v>30</v>
      </c>
      <c r="M23" s="163">
        <v>30</v>
      </c>
      <c r="N23" s="163">
        <v>30</v>
      </c>
      <c r="O23" s="163">
        <v>30</v>
      </c>
      <c r="P23" s="163">
        <v>30</v>
      </c>
      <c r="Q23" s="163">
        <v>30</v>
      </c>
      <c r="R23" s="163">
        <v>30</v>
      </c>
      <c r="S23" s="161">
        <f t="shared" si="3"/>
        <v>330</v>
      </c>
      <c r="T23" s="164">
        <f>+S23/30</f>
        <v>11</v>
      </c>
      <c r="U23" s="162">
        <f>ROUND(PRODUCT(F23*T23),0)</f>
        <v>95579</v>
      </c>
      <c r="V23" s="163">
        <f>U23*0.1</f>
        <v>9557.9</v>
      </c>
      <c r="W23" s="163">
        <f>U23*0.0171</f>
        <v>1634.4009000000001</v>
      </c>
      <c r="X23" s="163">
        <f>U23*0.03</f>
        <v>2867.37</v>
      </c>
      <c r="Y23" s="165">
        <f>U23*0.02</f>
        <v>1911.58</v>
      </c>
      <c r="Z23" s="163">
        <f>SUM(U23:Y23)</f>
        <v>111550.25089999998</v>
      </c>
      <c r="AA23" s="56">
        <f>+F23*S23/360</f>
        <v>7964.916666666667</v>
      </c>
      <c r="AB23" s="56"/>
    </row>
    <row r="24" spans="1:28" s="1" customFormat="1" ht="25.5" customHeight="1">
      <c r="B24" s="143" t="s">
        <v>35</v>
      </c>
      <c r="C24" s="144"/>
      <c r="D24" s="144"/>
      <c r="E24" s="145"/>
      <c r="F24" s="146"/>
      <c r="G24" s="149"/>
      <c r="H24" s="146"/>
      <c r="I24" s="146"/>
      <c r="J24" s="146"/>
      <c r="K24" s="146"/>
      <c r="L24" s="146"/>
      <c r="M24" s="146"/>
      <c r="N24" s="146"/>
      <c r="O24" s="146"/>
      <c r="P24" s="146"/>
      <c r="Q24" s="146"/>
      <c r="R24" s="146"/>
      <c r="S24" s="145"/>
      <c r="T24" s="147"/>
      <c r="U24" s="148"/>
      <c r="V24" s="149"/>
      <c r="W24" s="149"/>
      <c r="X24" s="149"/>
      <c r="Y24" s="150"/>
      <c r="Z24" s="149"/>
      <c r="AA24" s="56"/>
      <c r="AB24" s="56">
        <f t="shared" si="0"/>
        <v>0</v>
      </c>
    </row>
    <row r="25" spans="1:28" s="1" customFormat="1" ht="26.25" customHeight="1">
      <c r="A25" s="1">
        <f>A23+1</f>
        <v>11</v>
      </c>
      <c r="B25" s="13" t="s">
        <v>227</v>
      </c>
      <c r="C25" s="14" t="s">
        <v>32</v>
      </c>
      <c r="D25" s="14">
        <v>2022</v>
      </c>
      <c r="E25" s="15" t="s">
        <v>30</v>
      </c>
      <c r="F25" s="16">
        <v>13738</v>
      </c>
      <c r="G25" s="17">
        <v>26</v>
      </c>
      <c r="H25" s="17">
        <v>30</v>
      </c>
      <c r="I25" s="17">
        <v>30</v>
      </c>
      <c r="J25" s="17">
        <v>30</v>
      </c>
      <c r="K25" s="17">
        <v>30</v>
      </c>
      <c r="L25" s="17">
        <v>30</v>
      </c>
      <c r="M25" s="17">
        <v>30</v>
      </c>
      <c r="N25" s="17">
        <v>30</v>
      </c>
      <c r="O25" s="17">
        <v>30</v>
      </c>
      <c r="P25" s="17">
        <v>30</v>
      </c>
      <c r="Q25" s="17">
        <v>30</v>
      </c>
      <c r="R25" s="17">
        <v>30</v>
      </c>
      <c r="S25" s="15">
        <f t="shared" si="3"/>
        <v>356</v>
      </c>
      <c r="T25" s="18">
        <f t="shared" si="1"/>
        <v>11.866666666666667</v>
      </c>
      <c r="U25" s="16">
        <f t="shared" ref="U25:U30" si="4">ROUND(PRODUCT(F25*T25),0)</f>
        <v>163024</v>
      </c>
      <c r="V25" s="17">
        <f t="shared" ref="V25:V30" si="5">U25*0.1</f>
        <v>16302.400000000001</v>
      </c>
      <c r="W25" s="17">
        <f t="shared" ref="W25:W30" si="6">U25*0.0171</f>
        <v>2787.7103999999999</v>
      </c>
      <c r="X25" s="17">
        <f t="shared" ref="X25:X30" si="7">U25*0.03</f>
        <v>4890.72</v>
      </c>
      <c r="Y25" s="19">
        <f t="shared" ref="Y25:Y30" si="8">U25*0.02</f>
        <v>3260.48</v>
      </c>
      <c r="Z25" s="17">
        <f t="shared" ref="Z25:Z30" si="9">SUM(U25:Y25)</f>
        <v>190265.31040000002</v>
      </c>
      <c r="AA25" s="56">
        <f t="shared" ref="AA25:AA30" si="10">+F25*S25/360</f>
        <v>13585.355555555556</v>
      </c>
      <c r="AB25" s="56">
        <f t="shared" si="0"/>
        <v>203850.66595555557</v>
      </c>
    </row>
    <row r="26" spans="1:28" s="1" customFormat="1" ht="29.25" customHeight="1">
      <c r="A26" s="1">
        <f>A25+1</f>
        <v>12</v>
      </c>
      <c r="B26" s="13" t="s">
        <v>36</v>
      </c>
      <c r="C26" s="14" t="s">
        <v>32</v>
      </c>
      <c r="D26" s="14">
        <v>2022</v>
      </c>
      <c r="E26" s="15" t="s">
        <v>30</v>
      </c>
      <c r="F26" s="16">
        <v>10173</v>
      </c>
      <c r="G26" s="17">
        <v>26</v>
      </c>
      <c r="H26" s="17">
        <v>30</v>
      </c>
      <c r="I26" s="17">
        <v>30</v>
      </c>
      <c r="J26" s="17">
        <v>30</v>
      </c>
      <c r="K26" s="17">
        <v>30</v>
      </c>
      <c r="L26" s="17">
        <v>30</v>
      </c>
      <c r="M26" s="17">
        <v>30</v>
      </c>
      <c r="N26" s="17">
        <v>30</v>
      </c>
      <c r="O26" s="17">
        <v>30</v>
      </c>
      <c r="P26" s="17">
        <v>30</v>
      </c>
      <c r="Q26" s="17">
        <v>30</v>
      </c>
      <c r="R26" s="17">
        <v>30</v>
      </c>
      <c r="S26" s="15">
        <f t="shared" si="3"/>
        <v>356</v>
      </c>
      <c r="T26" s="18">
        <f t="shared" si="1"/>
        <v>11.866666666666667</v>
      </c>
      <c r="U26" s="16">
        <f t="shared" si="4"/>
        <v>120720</v>
      </c>
      <c r="V26" s="17">
        <f t="shared" si="5"/>
        <v>12072</v>
      </c>
      <c r="W26" s="17">
        <f t="shared" si="6"/>
        <v>2064.3119999999999</v>
      </c>
      <c r="X26" s="17">
        <f t="shared" si="7"/>
        <v>3621.6</v>
      </c>
      <c r="Y26" s="19">
        <f t="shared" si="8"/>
        <v>2414.4</v>
      </c>
      <c r="Z26" s="17">
        <f t="shared" si="9"/>
        <v>140892.31200000001</v>
      </c>
      <c r="AA26" s="56">
        <f t="shared" si="10"/>
        <v>10059.966666666667</v>
      </c>
      <c r="AB26" s="56">
        <f t="shared" si="0"/>
        <v>150952.27866666668</v>
      </c>
    </row>
    <row r="27" spans="1:28" s="1" customFormat="1" ht="21" customHeight="1">
      <c r="A27" s="1">
        <f>A26+1</f>
        <v>13</v>
      </c>
      <c r="B27" s="13" t="s">
        <v>228</v>
      </c>
      <c r="C27" s="14" t="s">
        <v>32</v>
      </c>
      <c r="D27" s="14">
        <v>2022</v>
      </c>
      <c r="E27" s="15" t="s">
        <v>30</v>
      </c>
      <c r="F27" s="16">
        <v>5971</v>
      </c>
      <c r="G27" s="17">
        <v>26</v>
      </c>
      <c r="H27" s="17">
        <v>30</v>
      </c>
      <c r="I27" s="17">
        <v>30</v>
      </c>
      <c r="J27" s="30">
        <v>30</v>
      </c>
      <c r="K27" s="30">
        <v>30</v>
      </c>
      <c r="L27" s="30">
        <v>30</v>
      </c>
      <c r="M27" s="17">
        <v>30</v>
      </c>
      <c r="N27" s="17">
        <v>30</v>
      </c>
      <c r="O27" s="17">
        <v>30</v>
      </c>
      <c r="P27" s="17">
        <v>30</v>
      </c>
      <c r="Q27" s="17">
        <v>30</v>
      </c>
      <c r="R27" s="17">
        <v>30</v>
      </c>
      <c r="S27" s="15">
        <f t="shared" si="3"/>
        <v>356</v>
      </c>
      <c r="T27" s="18">
        <f t="shared" si="1"/>
        <v>11.866666666666667</v>
      </c>
      <c r="U27" s="16">
        <f t="shared" si="4"/>
        <v>70856</v>
      </c>
      <c r="V27" s="17">
        <f t="shared" si="5"/>
        <v>7085.6</v>
      </c>
      <c r="W27" s="17">
        <f t="shared" si="6"/>
        <v>1211.6376</v>
      </c>
      <c r="X27" s="17">
        <f t="shared" si="7"/>
        <v>2125.6799999999998</v>
      </c>
      <c r="Y27" s="19">
        <f t="shared" si="8"/>
        <v>1417.1200000000001</v>
      </c>
      <c r="Z27" s="17">
        <f t="shared" si="9"/>
        <v>82696.037599999996</v>
      </c>
      <c r="AA27" s="56">
        <f t="shared" si="10"/>
        <v>5904.6555555555551</v>
      </c>
      <c r="AB27" s="56">
        <f t="shared" si="0"/>
        <v>88600.693155555549</v>
      </c>
    </row>
    <row r="28" spans="1:28" s="1" customFormat="1">
      <c r="A28" s="1">
        <f>A27+1</f>
        <v>14</v>
      </c>
      <c r="B28" s="13" t="s">
        <v>201</v>
      </c>
      <c r="C28" s="14" t="s">
        <v>32</v>
      </c>
      <c r="D28" s="14">
        <v>2022</v>
      </c>
      <c r="E28" s="15" t="s">
        <v>30</v>
      </c>
      <c r="F28" s="16">
        <v>4009</v>
      </c>
      <c r="G28" s="17">
        <v>0</v>
      </c>
      <c r="H28" s="17">
        <v>0</v>
      </c>
      <c r="I28" s="17">
        <v>30</v>
      </c>
      <c r="J28" s="17">
        <v>30</v>
      </c>
      <c r="K28" s="17">
        <v>30</v>
      </c>
      <c r="L28" s="17">
        <v>30</v>
      </c>
      <c r="M28" s="17">
        <v>30</v>
      </c>
      <c r="N28" s="17">
        <v>30</v>
      </c>
      <c r="O28" s="17">
        <v>30</v>
      </c>
      <c r="P28" s="17">
        <v>30</v>
      </c>
      <c r="Q28" s="17">
        <v>30</v>
      </c>
      <c r="R28" s="17">
        <v>30</v>
      </c>
      <c r="S28" s="15">
        <f t="shared" si="3"/>
        <v>300</v>
      </c>
      <c r="T28" s="18">
        <f>+S28/30</f>
        <v>10</v>
      </c>
      <c r="U28" s="16">
        <f t="shared" si="4"/>
        <v>40090</v>
      </c>
      <c r="V28" s="17">
        <f>U28*0.1</f>
        <v>4009</v>
      </c>
      <c r="W28" s="17">
        <f>U28*0.0171</f>
        <v>685.53899999999999</v>
      </c>
      <c r="X28" s="17">
        <f>U28*0.03</f>
        <v>1202.7</v>
      </c>
      <c r="Y28" s="19">
        <f>U28*0.02</f>
        <v>801.80000000000007</v>
      </c>
      <c r="Z28" s="17">
        <f>SUM(U28:Y28)</f>
        <v>46789.038999999997</v>
      </c>
      <c r="AA28" s="56">
        <f t="shared" si="10"/>
        <v>3340.8333333333335</v>
      </c>
      <c r="AB28" s="56">
        <f>+AA28+Z28</f>
        <v>50129.872333333333</v>
      </c>
    </row>
    <row r="29" spans="1:28" s="1" customFormat="1" ht="23.25" customHeight="1">
      <c r="A29" s="1">
        <f>A28+1</f>
        <v>15</v>
      </c>
      <c r="B29" s="13" t="s">
        <v>232</v>
      </c>
      <c r="C29" s="14" t="s">
        <v>32</v>
      </c>
      <c r="D29" s="14">
        <v>2022</v>
      </c>
      <c r="E29" s="15" t="s">
        <v>30</v>
      </c>
      <c r="F29" s="16">
        <v>5494</v>
      </c>
      <c r="G29" s="17">
        <v>26</v>
      </c>
      <c r="H29" s="17">
        <v>30</v>
      </c>
      <c r="I29" s="17">
        <v>30</v>
      </c>
      <c r="J29" s="17">
        <v>30</v>
      </c>
      <c r="K29" s="17">
        <v>30</v>
      </c>
      <c r="L29" s="17">
        <v>30</v>
      </c>
      <c r="M29" s="17">
        <v>30</v>
      </c>
      <c r="N29" s="17">
        <v>30</v>
      </c>
      <c r="O29" s="17">
        <v>30</v>
      </c>
      <c r="P29" s="17">
        <v>30</v>
      </c>
      <c r="Q29" s="17">
        <v>30</v>
      </c>
      <c r="R29" s="17">
        <v>30</v>
      </c>
      <c r="S29" s="15">
        <f t="shared" si="3"/>
        <v>356</v>
      </c>
      <c r="T29" s="18">
        <f t="shared" si="1"/>
        <v>11.866666666666667</v>
      </c>
      <c r="U29" s="16">
        <f t="shared" si="4"/>
        <v>65195</v>
      </c>
      <c r="V29" s="17">
        <f t="shared" si="5"/>
        <v>6519.5</v>
      </c>
      <c r="W29" s="17">
        <f t="shared" si="6"/>
        <v>1114.8344999999999</v>
      </c>
      <c r="X29" s="17">
        <f t="shared" si="7"/>
        <v>1955.85</v>
      </c>
      <c r="Y29" s="19">
        <f t="shared" si="8"/>
        <v>1303.9000000000001</v>
      </c>
      <c r="Z29" s="17">
        <f t="shared" si="9"/>
        <v>76089.084499999997</v>
      </c>
      <c r="AA29" s="56">
        <f t="shared" si="10"/>
        <v>5432.9555555555553</v>
      </c>
      <c r="AB29" s="56">
        <f t="shared" si="0"/>
        <v>81522.040055555553</v>
      </c>
    </row>
    <row r="30" spans="1:28" s="1" customFormat="1" ht="23.25" customHeight="1">
      <c r="A30" s="1">
        <f>A29+1</f>
        <v>16</v>
      </c>
      <c r="B30" s="13" t="s">
        <v>233</v>
      </c>
      <c r="C30" s="14" t="s">
        <v>32</v>
      </c>
      <c r="D30" s="14">
        <v>2022</v>
      </c>
      <c r="E30" s="15" t="s">
        <v>30</v>
      </c>
      <c r="F30" s="16">
        <v>4827</v>
      </c>
      <c r="G30" s="17">
        <v>0</v>
      </c>
      <c r="H30" s="17">
        <v>0</v>
      </c>
      <c r="I30" s="17">
        <v>0</v>
      </c>
      <c r="J30" s="17">
        <v>30</v>
      </c>
      <c r="K30" s="17">
        <v>30</v>
      </c>
      <c r="L30" s="17">
        <v>30</v>
      </c>
      <c r="M30" s="17">
        <v>30</v>
      </c>
      <c r="N30" s="17">
        <v>30</v>
      </c>
      <c r="O30" s="17">
        <v>30</v>
      </c>
      <c r="P30" s="17">
        <v>30</v>
      </c>
      <c r="Q30" s="17">
        <v>30</v>
      </c>
      <c r="R30" s="17">
        <v>30</v>
      </c>
      <c r="S30" s="15">
        <f t="shared" si="3"/>
        <v>270</v>
      </c>
      <c r="T30" s="18">
        <f t="shared" si="1"/>
        <v>9</v>
      </c>
      <c r="U30" s="16">
        <f t="shared" si="4"/>
        <v>43443</v>
      </c>
      <c r="V30" s="17">
        <f t="shared" si="5"/>
        <v>4344.3</v>
      </c>
      <c r="W30" s="17">
        <f t="shared" si="6"/>
        <v>742.87530000000004</v>
      </c>
      <c r="X30" s="17">
        <f t="shared" si="7"/>
        <v>1303.29</v>
      </c>
      <c r="Y30" s="19">
        <f t="shared" si="8"/>
        <v>868.86</v>
      </c>
      <c r="Z30" s="17">
        <f t="shared" si="9"/>
        <v>50702.325300000004</v>
      </c>
      <c r="AA30" s="56">
        <f t="shared" si="10"/>
        <v>3620.25</v>
      </c>
      <c r="AB30" s="56">
        <f t="shared" si="0"/>
        <v>54322.575300000004</v>
      </c>
    </row>
    <row r="31" spans="1:28" s="1" customFormat="1" ht="28.5" customHeight="1">
      <c r="B31" s="143" t="s">
        <v>38</v>
      </c>
      <c r="C31" s="153"/>
      <c r="D31" s="154"/>
      <c r="E31" s="154"/>
      <c r="F31" s="154"/>
      <c r="G31" s="154"/>
      <c r="H31" s="154"/>
      <c r="I31" s="154"/>
      <c r="J31" s="154"/>
      <c r="K31" s="154"/>
      <c r="L31" s="154"/>
      <c r="M31" s="154"/>
      <c r="N31" s="154"/>
      <c r="O31" s="154"/>
      <c r="P31" s="154"/>
      <c r="Q31" s="154"/>
      <c r="R31" s="154"/>
      <c r="S31" s="154"/>
      <c r="T31" s="154"/>
      <c r="U31" s="146"/>
      <c r="V31" s="154"/>
      <c r="W31" s="154"/>
      <c r="X31" s="154"/>
      <c r="Y31" s="154"/>
      <c r="Z31" s="149"/>
      <c r="AA31" s="56"/>
      <c r="AB31" s="56">
        <f>+AA31+Z31</f>
        <v>0</v>
      </c>
    </row>
    <row r="32" spans="1:28" s="1" customFormat="1" ht="33.75" customHeight="1">
      <c r="A32" s="1">
        <f>A30+1</f>
        <v>17</v>
      </c>
      <c r="B32" s="13" t="s">
        <v>229</v>
      </c>
      <c r="C32" s="14" t="s">
        <v>32</v>
      </c>
      <c r="D32" s="14">
        <v>2022</v>
      </c>
      <c r="E32" s="15" t="s">
        <v>30</v>
      </c>
      <c r="F32" s="16">
        <v>13738</v>
      </c>
      <c r="G32" s="17">
        <v>20</v>
      </c>
      <c r="H32" s="17">
        <v>30</v>
      </c>
      <c r="I32" s="17">
        <v>30</v>
      </c>
      <c r="J32" s="17">
        <v>30</v>
      </c>
      <c r="K32" s="17">
        <v>30</v>
      </c>
      <c r="L32" s="17">
        <v>30</v>
      </c>
      <c r="M32" s="17">
        <v>30</v>
      </c>
      <c r="N32" s="17">
        <v>30</v>
      </c>
      <c r="O32" s="17">
        <v>30</v>
      </c>
      <c r="P32" s="17">
        <v>30</v>
      </c>
      <c r="Q32" s="17">
        <v>30</v>
      </c>
      <c r="R32" s="17">
        <v>30</v>
      </c>
      <c r="S32" s="15">
        <f t="shared" si="3"/>
        <v>350</v>
      </c>
      <c r="T32" s="18">
        <f>+S32/30</f>
        <v>11.666666666666666</v>
      </c>
      <c r="U32" s="16">
        <f>ROUND(PRODUCT(F32*T32),0)</f>
        <v>160277</v>
      </c>
      <c r="V32" s="17">
        <f>U32*0.1</f>
        <v>16027.7</v>
      </c>
      <c r="W32" s="17">
        <f>U32*0.0171</f>
        <v>2740.7366999999999</v>
      </c>
      <c r="X32" s="17">
        <f>U32*0.03</f>
        <v>4808.3099999999995</v>
      </c>
      <c r="Y32" s="19">
        <f>U32*0.02</f>
        <v>3205.54</v>
      </c>
      <c r="Z32" s="17">
        <f>SUM(U32:Y32)</f>
        <v>187059.28670000003</v>
      </c>
      <c r="AA32" s="56">
        <f>+F32*S32/360</f>
        <v>13356.388888888889</v>
      </c>
      <c r="AB32" s="56">
        <f>+AA32+Z32</f>
        <v>200415.6755888889</v>
      </c>
    </row>
    <row r="33" spans="1:32" s="1" customFormat="1" ht="29.25" customHeight="1">
      <c r="A33" s="1">
        <f>A32+1</f>
        <v>18</v>
      </c>
      <c r="B33" s="159" t="s">
        <v>234</v>
      </c>
      <c r="C33" s="160" t="s">
        <v>207</v>
      </c>
      <c r="D33" s="160">
        <v>2022</v>
      </c>
      <c r="E33" s="161" t="s">
        <v>30</v>
      </c>
      <c r="F33" s="162">
        <v>9282</v>
      </c>
      <c r="G33" s="163">
        <v>0</v>
      </c>
      <c r="H33" s="163">
        <v>30</v>
      </c>
      <c r="I33" s="163">
        <v>30</v>
      </c>
      <c r="J33" s="163">
        <v>30</v>
      </c>
      <c r="K33" s="163">
        <v>30</v>
      </c>
      <c r="L33" s="163">
        <v>30</v>
      </c>
      <c r="M33" s="163">
        <v>30</v>
      </c>
      <c r="N33" s="163">
        <v>30</v>
      </c>
      <c r="O33" s="163">
        <v>30</v>
      </c>
      <c r="P33" s="163">
        <v>30</v>
      </c>
      <c r="Q33" s="163">
        <v>30</v>
      </c>
      <c r="R33" s="163">
        <v>30</v>
      </c>
      <c r="S33" s="161">
        <f t="shared" si="3"/>
        <v>330</v>
      </c>
      <c r="T33" s="164">
        <f>+S33/30</f>
        <v>11</v>
      </c>
      <c r="U33" s="162">
        <f>ROUND(PRODUCT(F33*T33),0)</f>
        <v>102102</v>
      </c>
      <c r="V33" s="163">
        <f>U33*0.1</f>
        <v>10210.200000000001</v>
      </c>
      <c r="W33" s="163">
        <f>U33*0.0171</f>
        <v>1745.9442000000001</v>
      </c>
      <c r="X33" s="163">
        <f>U33*0.03</f>
        <v>3063.06</v>
      </c>
      <c r="Y33" s="165">
        <f>U33*0.02</f>
        <v>2042.04</v>
      </c>
      <c r="Z33" s="163">
        <f>SUM(U33:Y33)</f>
        <v>119163.24419999999</v>
      </c>
      <c r="AA33" s="56">
        <f>+F33*S33/360</f>
        <v>8508.5</v>
      </c>
      <c r="AB33" s="56">
        <f>+AA33+Z33</f>
        <v>127671.74419999999</v>
      </c>
      <c r="AF33" s="1">
        <v>20</v>
      </c>
    </row>
    <row r="34" spans="1:32" s="1" customFormat="1" ht="29.25" customHeight="1">
      <c r="A34" s="1">
        <f>A33+1</f>
        <v>19</v>
      </c>
      <c r="B34" s="159" t="s">
        <v>235</v>
      </c>
      <c r="C34" s="160" t="s">
        <v>207</v>
      </c>
      <c r="D34" s="160">
        <v>2022</v>
      </c>
      <c r="E34" s="161" t="s">
        <v>30</v>
      </c>
      <c r="F34" s="162">
        <v>9282</v>
      </c>
      <c r="G34" s="163">
        <v>30</v>
      </c>
      <c r="H34" s="163">
        <v>30</v>
      </c>
      <c r="I34" s="163">
        <v>30</v>
      </c>
      <c r="J34" s="163">
        <v>30</v>
      </c>
      <c r="K34" s="163">
        <v>30</v>
      </c>
      <c r="L34" s="163">
        <v>30</v>
      </c>
      <c r="M34" s="163">
        <v>30</v>
      </c>
      <c r="N34" s="163">
        <v>30</v>
      </c>
      <c r="O34" s="163">
        <v>30</v>
      </c>
      <c r="P34" s="163">
        <v>30</v>
      </c>
      <c r="Q34" s="163">
        <v>30</v>
      </c>
      <c r="R34" s="163">
        <v>30</v>
      </c>
      <c r="S34" s="161">
        <f t="shared" si="3"/>
        <v>360</v>
      </c>
      <c r="T34" s="164">
        <f>+S34/30</f>
        <v>12</v>
      </c>
      <c r="U34" s="162">
        <f>ROUND(PRODUCT(F34*T34),0)</f>
        <v>111384</v>
      </c>
      <c r="V34" s="163">
        <f>U34*0.1</f>
        <v>11138.400000000001</v>
      </c>
      <c r="W34" s="163">
        <f>U34*0.0171</f>
        <v>1904.6664000000001</v>
      </c>
      <c r="X34" s="163">
        <f>U34*0.03</f>
        <v>3341.52</v>
      </c>
      <c r="Y34" s="165">
        <f>U34*0.02</f>
        <v>2227.6799999999998</v>
      </c>
      <c r="Z34" s="163">
        <f>SUM(U34:Y34)</f>
        <v>129996.26639999999</v>
      </c>
      <c r="AA34" s="56">
        <f>+F34*S34/360</f>
        <v>9282</v>
      </c>
      <c r="AB34" s="56"/>
    </row>
    <row r="35" spans="1:32" s="1" customFormat="1" ht="26.25" customHeight="1">
      <c r="A35" s="1">
        <f>A34+1</f>
        <v>20</v>
      </c>
      <c r="B35" s="13" t="s">
        <v>236</v>
      </c>
      <c r="C35" s="14" t="s">
        <v>32</v>
      </c>
      <c r="D35" s="14">
        <v>2022</v>
      </c>
      <c r="E35" s="15" t="s">
        <v>30</v>
      </c>
      <c r="F35" s="16">
        <v>4529</v>
      </c>
      <c r="G35" s="17">
        <v>30</v>
      </c>
      <c r="H35" s="17">
        <v>30</v>
      </c>
      <c r="I35" s="17">
        <v>30</v>
      </c>
      <c r="J35" s="17">
        <v>30</v>
      </c>
      <c r="K35" s="17">
        <v>30</v>
      </c>
      <c r="L35" s="17">
        <v>30</v>
      </c>
      <c r="M35" s="17">
        <v>30</v>
      </c>
      <c r="N35" s="17">
        <v>30</v>
      </c>
      <c r="O35" s="17">
        <v>30</v>
      </c>
      <c r="P35" s="17">
        <v>30</v>
      </c>
      <c r="Q35" s="17">
        <v>30</v>
      </c>
      <c r="R35" s="17">
        <v>30</v>
      </c>
      <c r="S35" s="15">
        <f t="shared" si="3"/>
        <v>360</v>
      </c>
      <c r="T35" s="18">
        <f>+S35/30</f>
        <v>12</v>
      </c>
      <c r="U35" s="16">
        <f>ROUND(PRODUCT(F35*T35),0)</f>
        <v>54348</v>
      </c>
      <c r="V35" s="17">
        <f>U35*0.1</f>
        <v>5434.8</v>
      </c>
      <c r="W35" s="17">
        <f>U35*0.0171</f>
        <v>929.35080000000005</v>
      </c>
      <c r="X35" s="17">
        <f>U35*0.03</f>
        <v>1630.4399999999998</v>
      </c>
      <c r="Y35" s="19">
        <f>U35*0.02</f>
        <v>1086.96</v>
      </c>
      <c r="Z35" s="17">
        <f>SUM(U35:Y35)</f>
        <v>63429.550800000005</v>
      </c>
      <c r="AA35" s="56">
        <f>+F35*S35/360</f>
        <v>4529</v>
      </c>
      <c r="AB35" s="56">
        <f>+AA35+Z35</f>
        <v>67958.550799999997</v>
      </c>
      <c r="AF35" s="1">
        <v>30</v>
      </c>
    </row>
    <row r="36" spans="1:32" s="1" customFormat="1" ht="26.25" customHeight="1">
      <c r="B36" s="139" t="s">
        <v>39</v>
      </c>
      <c r="C36" s="144"/>
      <c r="D36" s="144"/>
      <c r="E36" s="145"/>
      <c r="F36" s="146"/>
      <c r="G36" s="146"/>
      <c r="H36" s="146"/>
      <c r="I36" s="146"/>
      <c r="J36" s="146"/>
      <c r="K36" s="146"/>
      <c r="L36" s="146"/>
      <c r="M36" s="146"/>
      <c r="N36" s="146"/>
      <c r="O36" s="146"/>
      <c r="P36" s="146"/>
      <c r="Q36" s="146"/>
      <c r="R36" s="146"/>
      <c r="S36" s="145"/>
      <c r="T36" s="145"/>
      <c r="U36" s="146"/>
      <c r="V36" s="149"/>
      <c r="W36" s="149"/>
      <c r="X36" s="149"/>
      <c r="Y36" s="150"/>
      <c r="Z36" s="149"/>
      <c r="AA36" s="56"/>
      <c r="AB36" s="56">
        <f>+AA36+Z36</f>
        <v>0</v>
      </c>
      <c r="AF36" s="1">
        <v>30</v>
      </c>
    </row>
    <row r="37" spans="1:32" s="1" customFormat="1" ht="29.25" customHeight="1">
      <c r="A37" s="1">
        <f>A35+1</f>
        <v>21</v>
      </c>
      <c r="B37" s="13" t="s">
        <v>230</v>
      </c>
      <c r="C37" s="14" t="s">
        <v>32</v>
      </c>
      <c r="D37" s="14">
        <v>2022</v>
      </c>
      <c r="E37" s="15" t="s">
        <v>30</v>
      </c>
      <c r="F37" s="16">
        <v>13738</v>
      </c>
      <c r="G37" s="17">
        <v>25</v>
      </c>
      <c r="H37" s="17">
        <v>30</v>
      </c>
      <c r="I37" s="17">
        <v>30</v>
      </c>
      <c r="J37" s="17">
        <v>30</v>
      </c>
      <c r="K37" s="17">
        <v>30</v>
      </c>
      <c r="L37" s="17">
        <v>30</v>
      </c>
      <c r="M37" s="17">
        <v>30</v>
      </c>
      <c r="N37" s="17">
        <v>30</v>
      </c>
      <c r="O37" s="17">
        <v>30</v>
      </c>
      <c r="P37" s="17">
        <v>30</v>
      </c>
      <c r="Q37" s="17">
        <v>30</v>
      </c>
      <c r="R37" s="17">
        <v>30</v>
      </c>
      <c r="S37" s="15">
        <f t="shared" si="3"/>
        <v>355</v>
      </c>
      <c r="T37" s="18">
        <f>+S37/30</f>
        <v>11.833333333333334</v>
      </c>
      <c r="U37" s="16">
        <f>ROUND(PRODUCT(F37*T37),0)</f>
        <v>162566</v>
      </c>
      <c r="V37" s="17">
        <f>U37*0.1</f>
        <v>16256.6</v>
      </c>
      <c r="W37" s="17">
        <f>U37*0.0171</f>
        <v>2779.8786</v>
      </c>
      <c r="X37" s="17">
        <f>U37*0.03</f>
        <v>4876.9799999999996</v>
      </c>
      <c r="Y37" s="19">
        <f>U37*0.02</f>
        <v>3251.32</v>
      </c>
      <c r="Z37" s="17">
        <f>SUM(U37:Y37)</f>
        <v>189730.77860000002</v>
      </c>
      <c r="AA37" s="56">
        <f>+F37*S37/360</f>
        <v>13547.194444444445</v>
      </c>
      <c r="AB37" s="56">
        <f>+AA37+Z37</f>
        <v>203277.97304444446</v>
      </c>
      <c r="AF37" s="1">
        <v>10</v>
      </c>
    </row>
    <row r="38" spans="1:32" s="1" customFormat="1" ht="23.25" customHeight="1">
      <c r="A38" s="1">
        <f>A37+1</f>
        <v>22</v>
      </c>
      <c r="B38" s="13" t="s">
        <v>237</v>
      </c>
      <c r="C38" s="14" t="s">
        <v>32</v>
      </c>
      <c r="D38" s="14">
        <v>2022</v>
      </c>
      <c r="E38" s="15" t="s">
        <v>30</v>
      </c>
      <c r="F38" s="16">
        <v>9282</v>
      </c>
      <c r="G38" s="17">
        <v>0</v>
      </c>
      <c r="H38" s="17">
        <v>0</v>
      </c>
      <c r="I38" s="17">
        <v>30</v>
      </c>
      <c r="J38" s="17">
        <v>30</v>
      </c>
      <c r="K38" s="17">
        <v>30</v>
      </c>
      <c r="L38" s="17">
        <v>30</v>
      </c>
      <c r="M38" s="17">
        <v>30</v>
      </c>
      <c r="N38" s="17">
        <v>30</v>
      </c>
      <c r="O38" s="17">
        <v>30</v>
      </c>
      <c r="P38" s="17">
        <v>30</v>
      </c>
      <c r="Q38" s="17">
        <v>30</v>
      </c>
      <c r="R38" s="17">
        <v>30</v>
      </c>
      <c r="S38" s="15">
        <f t="shared" si="3"/>
        <v>300</v>
      </c>
      <c r="T38" s="18">
        <f>+S38/30</f>
        <v>10</v>
      </c>
      <c r="U38" s="16">
        <f>ROUND(PRODUCT(F38*T38),0)</f>
        <v>92820</v>
      </c>
      <c r="V38" s="17">
        <f>U38*0.1</f>
        <v>9282</v>
      </c>
      <c r="W38" s="17">
        <f>U38*0.0171</f>
        <v>1587.222</v>
      </c>
      <c r="X38" s="17">
        <f>U38*0.03</f>
        <v>2784.6</v>
      </c>
      <c r="Y38" s="19">
        <f>U38*0.02</f>
        <v>1856.4</v>
      </c>
      <c r="Z38" s="17">
        <f>SUM(U38:Y38)</f>
        <v>108330.22199999999</v>
      </c>
      <c r="AA38" s="56">
        <f>+F38*S38/360</f>
        <v>7735</v>
      </c>
      <c r="AB38" s="56">
        <f>+AA38+Z38</f>
        <v>116065.22199999999</v>
      </c>
      <c r="AF38" s="1">
        <f>SUM(AF33:AF37)</f>
        <v>90</v>
      </c>
    </row>
    <row r="39" spans="1:32" s="1" customFormat="1" ht="23.25" customHeight="1">
      <c r="A39" s="1">
        <f>A38+1</f>
        <v>23</v>
      </c>
      <c r="B39" s="159" t="s">
        <v>238</v>
      </c>
      <c r="C39" s="160" t="s">
        <v>207</v>
      </c>
      <c r="D39" s="160">
        <v>2022</v>
      </c>
      <c r="E39" s="161" t="s">
        <v>30</v>
      </c>
      <c r="F39" s="162">
        <v>9282</v>
      </c>
      <c r="G39" s="163">
        <v>0</v>
      </c>
      <c r="H39" s="163">
        <v>0</v>
      </c>
      <c r="I39" s="163">
        <v>30</v>
      </c>
      <c r="J39" s="163">
        <v>30</v>
      </c>
      <c r="K39" s="163">
        <v>30</v>
      </c>
      <c r="L39" s="163">
        <v>30</v>
      </c>
      <c r="M39" s="163">
        <v>30</v>
      </c>
      <c r="N39" s="163">
        <v>30</v>
      </c>
      <c r="O39" s="163">
        <v>30</v>
      </c>
      <c r="P39" s="163">
        <v>30</v>
      </c>
      <c r="Q39" s="163">
        <v>30</v>
      </c>
      <c r="R39" s="163">
        <v>30</v>
      </c>
      <c r="S39" s="161">
        <f t="shared" si="3"/>
        <v>300</v>
      </c>
      <c r="T39" s="164">
        <f>+S39/30</f>
        <v>10</v>
      </c>
      <c r="U39" s="162">
        <f>ROUND(PRODUCT(F39*T39),0)</f>
        <v>92820</v>
      </c>
      <c r="V39" s="163">
        <f>U39*0.1</f>
        <v>9282</v>
      </c>
      <c r="W39" s="163">
        <f>U39*0.0171</f>
        <v>1587.222</v>
      </c>
      <c r="X39" s="163">
        <f>U39*0.03</f>
        <v>2784.6</v>
      </c>
      <c r="Y39" s="165">
        <f>U39*0.02</f>
        <v>1856.4</v>
      </c>
      <c r="Z39" s="163">
        <f>SUM(U39:Y39)</f>
        <v>108330.22199999999</v>
      </c>
      <c r="AA39" s="56">
        <f>+F39*S39/360</f>
        <v>7735</v>
      </c>
      <c r="AB39" s="56"/>
    </row>
    <row r="40" spans="1:32" s="1" customFormat="1" ht="28.5" customHeight="1">
      <c r="B40" s="139" t="s">
        <v>37</v>
      </c>
      <c r="C40" s="140"/>
      <c r="D40" s="140"/>
      <c r="E40" s="140"/>
      <c r="F40" s="155"/>
      <c r="G40" s="155"/>
      <c r="H40" s="155"/>
      <c r="I40" s="155"/>
      <c r="J40" s="155"/>
      <c r="K40" s="155"/>
      <c r="L40" s="155"/>
      <c r="M40" s="155"/>
      <c r="N40" s="155"/>
      <c r="O40" s="155"/>
      <c r="P40" s="155"/>
      <c r="Q40" s="155"/>
      <c r="R40" s="155"/>
      <c r="S40" s="140"/>
      <c r="T40" s="140"/>
      <c r="U40" s="148"/>
      <c r="V40" s="141"/>
      <c r="W40" s="141"/>
      <c r="X40" s="141"/>
      <c r="Y40" s="141"/>
      <c r="Z40" s="149"/>
      <c r="AA40" s="56"/>
      <c r="AB40" s="56">
        <f t="shared" si="0"/>
        <v>0</v>
      </c>
    </row>
    <row r="41" spans="1:32" s="1" customFormat="1" ht="20.399999999999999">
      <c r="A41" s="1">
        <f>A39+1</f>
        <v>24</v>
      </c>
      <c r="B41" s="25" t="s">
        <v>231</v>
      </c>
      <c r="C41" s="14" t="s">
        <v>32</v>
      </c>
      <c r="D41" s="14">
        <v>2022</v>
      </c>
      <c r="E41" s="15" t="s">
        <v>30</v>
      </c>
      <c r="F41" s="26">
        <v>13738</v>
      </c>
      <c r="G41" s="17">
        <v>26</v>
      </c>
      <c r="H41" s="17">
        <v>30</v>
      </c>
      <c r="I41" s="17">
        <v>30</v>
      </c>
      <c r="J41" s="17">
        <v>30</v>
      </c>
      <c r="K41" s="17">
        <v>30</v>
      </c>
      <c r="L41" s="17">
        <v>30</v>
      </c>
      <c r="M41" s="17">
        <v>30</v>
      </c>
      <c r="N41" s="17">
        <v>30</v>
      </c>
      <c r="O41" s="17">
        <v>30</v>
      </c>
      <c r="P41" s="17">
        <v>30</v>
      </c>
      <c r="Q41" s="17">
        <v>30</v>
      </c>
      <c r="R41" s="17">
        <v>30</v>
      </c>
      <c r="S41" s="15">
        <f t="shared" si="3"/>
        <v>356</v>
      </c>
      <c r="T41" s="18">
        <f>+S41/30</f>
        <v>11.866666666666667</v>
      </c>
      <c r="U41" s="16">
        <f>ROUND(PRODUCT(F41*T41),0)</f>
        <v>163024</v>
      </c>
      <c r="V41" s="17">
        <f>U41*0.1</f>
        <v>16302.400000000001</v>
      </c>
      <c r="W41" s="17">
        <f>U41*0.0171</f>
        <v>2787.7103999999999</v>
      </c>
      <c r="X41" s="17">
        <f>U41*0.03</f>
        <v>4890.72</v>
      </c>
      <c r="Y41" s="19">
        <f>U41*0.02</f>
        <v>3260.48</v>
      </c>
      <c r="Z41" s="17">
        <f>SUM(U41:Y41)</f>
        <v>190265.31040000002</v>
      </c>
      <c r="AA41" s="56">
        <f>+F41*S41/360</f>
        <v>13585.355555555556</v>
      </c>
      <c r="AB41" s="56">
        <f t="shared" si="0"/>
        <v>203850.66595555557</v>
      </c>
    </row>
    <row r="42" spans="1:32" s="1" customFormat="1" ht="29.25" customHeight="1">
      <c r="A42" s="1">
        <f>A41+1</f>
        <v>25</v>
      </c>
      <c r="B42" s="13" t="s">
        <v>239</v>
      </c>
      <c r="C42" s="14" t="s">
        <v>32</v>
      </c>
      <c r="D42" s="14">
        <v>2022</v>
      </c>
      <c r="E42" s="15" t="s">
        <v>30</v>
      </c>
      <c r="F42" s="16">
        <v>9282</v>
      </c>
      <c r="G42" s="17">
        <v>29</v>
      </c>
      <c r="H42" s="17">
        <v>30</v>
      </c>
      <c r="I42" s="17">
        <v>30</v>
      </c>
      <c r="J42" s="17">
        <v>30</v>
      </c>
      <c r="K42" s="17">
        <v>30</v>
      </c>
      <c r="L42" s="17">
        <v>30</v>
      </c>
      <c r="M42" s="17">
        <v>30</v>
      </c>
      <c r="N42" s="17">
        <v>30</v>
      </c>
      <c r="O42" s="17">
        <v>30</v>
      </c>
      <c r="P42" s="17">
        <v>30</v>
      </c>
      <c r="Q42" s="17">
        <v>30</v>
      </c>
      <c r="R42" s="17">
        <v>30</v>
      </c>
      <c r="S42" s="15">
        <f t="shared" si="3"/>
        <v>359</v>
      </c>
      <c r="T42" s="18">
        <f>+S42/30</f>
        <v>11.966666666666667</v>
      </c>
      <c r="U42" s="16">
        <f>ROUND(PRODUCT(F42*T42),0)</f>
        <v>111075</v>
      </c>
      <c r="V42" s="17">
        <f>U42*0.1</f>
        <v>11107.5</v>
      </c>
      <c r="W42" s="17">
        <f>U42*0.0171</f>
        <v>1899.3825000000002</v>
      </c>
      <c r="X42" s="17">
        <f>U42*0.03</f>
        <v>3332.25</v>
      </c>
      <c r="Y42" s="19">
        <f>U42*0.02</f>
        <v>2221.5</v>
      </c>
      <c r="Z42" s="17">
        <f>SUM(U42:Y42)</f>
        <v>129635.63250000001</v>
      </c>
      <c r="AA42" s="56">
        <f>+F42*S42/360</f>
        <v>9256.2166666666672</v>
      </c>
      <c r="AB42" s="56">
        <f t="shared" si="0"/>
        <v>138891.84916666668</v>
      </c>
    </row>
    <row r="43" spans="1:32" s="1" customFormat="1" ht="24" customHeight="1">
      <c r="A43" s="1">
        <f>A42+1</f>
        <v>26</v>
      </c>
      <c r="B43" s="159" t="s">
        <v>240</v>
      </c>
      <c r="C43" s="160" t="s">
        <v>207</v>
      </c>
      <c r="D43" s="160">
        <v>2022</v>
      </c>
      <c r="E43" s="161" t="s">
        <v>30</v>
      </c>
      <c r="F43" s="162">
        <v>9282</v>
      </c>
      <c r="G43" s="163">
        <v>29</v>
      </c>
      <c r="H43" s="163">
        <v>30</v>
      </c>
      <c r="I43" s="163">
        <v>30</v>
      </c>
      <c r="J43" s="163">
        <v>30</v>
      </c>
      <c r="K43" s="163">
        <v>30</v>
      </c>
      <c r="L43" s="163">
        <v>30</v>
      </c>
      <c r="M43" s="163">
        <v>30</v>
      </c>
      <c r="N43" s="163">
        <v>30</v>
      </c>
      <c r="O43" s="163">
        <v>30</v>
      </c>
      <c r="P43" s="163">
        <v>30</v>
      </c>
      <c r="Q43" s="163">
        <v>30</v>
      </c>
      <c r="R43" s="163">
        <v>30</v>
      </c>
      <c r="S43" s="161">
        <f t="shared" si="3"/>
        <v>359</v>
      </c>
      <c r="T43" s="164">
        <f>+S43/30</f>
        <v>11.966666666666667</v>
      </c>
      <c r="U43" s="162">
        <f>ROUND(PRODUCT(F43*T43),0)</f>
        <v>111075</v>
      </c>
      <c r="V43" s="163">
        <f>U43*0.1</f>
        <v>11107.5</v>
      </c>
      <c r="W43" s="163">
        <f>U43*0.0171</f>
        <v>1899.3825000000002</v>
      </c>
      <c r="X43" s="163">
        <f>U43*0.03</f>
        <v>3332.25</v>
      </c>
      <c r="Y43" s="165">
        <f>U43*0.02</f>
        <v>2221.5</v>
      </c>
      <c r="Z43" s="163">
        <f>SUM(U43:Y43)</f>
        <v>129635.63250000001</v>
      </c>
      <c r="AA43" s="56">
        <f>+F43*S43/360</f>
        <v>9256.2166666666672</v>
      </c>
      <c r="AB43" s="56">
        <f t="shared" si="0"/>
        <v>138891.84916666668</v>
      </c>
    </row>
    <row r="44" spans="1:32" s="1" customFormat="1">
      <c r="B44" s="4"/>
      <c r="C44" s="5"/>
      <c r="D44" s="5"/>
      <c r="E44" s="5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31"/>
      <c r="V44" s="6"/>
      <c r="W44" s="6"/>
      <c r="X44" s="6"/>
      <c r="Y44" s="6"/>
      <c r="Z44" s="12"/>
      <c r="AA44" s="56"/>
      <c r="AB44" s="56">
        <f t="shared" si="0"/>
        <v>0</v>
      </c>
    </row>
    <row r="45" spans="1:32" s="1" customFormat="1">
      <c r="B45" s="32" t="s">
        <v>40</v>
      </c>
      <c r="C45" s="33">
        <v>18</v>
      </c>
      <c r="D45" s="34"/>
      <c r="E45" s="35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7">
        <f>SUM(U12:U44)</f>
        <v>2638682</v>
      </c>
      <c r="V45" s="38">
        <f>SUM(V10:V44)</f>
        <v>287310.2</v>
      </c>
      <c r="W45" s="38">
        <f>SUM(W10:W44)</f>
        <v>49130.044200000004</v>
      </c>
      <c r="X45" s="38">
        <f>SUM(X10:X44)</f>
        <v>86193.060000000012</v>
      </c>
      <c r="Y45" s="39">
        <f>SUM(Y10:Y44)</f>
        <v>57462.040000000008</v>
      </c>
      <c r="Z45" s="38">
        <f>SUM(Z12:Z44)</f>
        <v>3079605.7621999993</v>
      </c>
      <c r="AA45" s="56">
        <f>SUM(AA9:AA43)</f>
        <v>239425.11944444443</v>
      </c>
      <c r="AB45" s="57">
        <f>SUM(AB9:AB43)</f>
        <v>2880948.3354444443</v>
      </c>
    </row>
    <row r="46" spans="1:32" s="1" customFormat="1">
      <c r="B46" s="32" t="s">
        <v>41</v>
      </c>
      <c r="C46" s="33">
        <v>18</v>
      </c>
      <c r="D46" s="34"/>
      <c r="E46" s="35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8">
        <f>SUM(U45:U45)</f>
        <v>2638682</v>
      </c>
      <c r="V46" s="40">
        <f>SUM(V45:V45)</f>
        <v>287310.2</v>
      </c>
      <c r="W46" s="40">
        <f>SUM(W45:W45)</f>
        <v>49130.044200000004</v>
      </c>
      <c r="X46" s="40">
        <f>SUM(X45:X45)</f>
        <v>86193.060000000012</v>
      </c>
      <c r="Y46" s="41">
        <f>SUM(Y45:Y45)</f>
        <v>57462.040000000008</v>
      </c>
      <c r="Z46" s="42"/>
      <c r="AA46" s="56"/>
      <c r="AB46" s="56"/>
    </row>
    <row r="47" spans="1:32" s="127" customFormat="1">
      <c r="B47" s="122"/>
      <c r="C47" s="123"/>
      <c r="D47" s="123"/>
      <c r="E47" s="122"/>
      <c r="F47" s="124"/>
      <c r="G47" s="124"/>
      <c r="H47" s="124"/>
      <c r="I47" s="124"/>
      <c r="J47" s="124"/>
      <c r="K47" s="124"/>
      <c r="L47" s="124"/>
      <c r="M47" s="124"/>
      <c r="N47" s="124"/>
      <c r="O47" s="124"/>
      <c r="P47" s="124"/>
      <c r="Q47" s="124"/>
      <c r="R47" s="124"/>
      <c r="S47" s="124"/>
      <c r="T47" s="124"/>
      <c r="U47" s="125"/>
      <c r="V47" s="126"/>
      <c r="W47" s="126"/>
      <c r="X47" s="126"/>
      <c r="Y47" s="126"/>
      <c r="Z47" s="131"/>
      <c r="AA47" s="132"/>
      <c r="AB47" s="132"/>
    </row>
    <row r="48" spans="1:32" s="127" customFormat="1">
      <c r="B48" s="122"/>
      <c r="C48" s="123"/>
      <c r="D48" s="123"/>
      <c r="E48" s="122"/>
      <c r="F48" s="124"/>
      <c r="G48" s="124"/>
      <c r="H48" s="124"/>
      <c r="I48" s="124"/>
      <c r="J48" s="124"/>
      <c r="K48" s="124"/>
      <c r="L48" s="124"/>
      <c r="M48" s="124"/>
      <c r="N48" s="124"/>
      <c r="O48" s="124"/>
      <c r="P48" s="124"/>
      <c r="Q48" s="124"/>
      <c r="R48" s="124"/>
      <c r="S48" s="124"/>
      <c r="T48" s="124"/>
      <c r="U48" s="125"/>
      <c r="V48" s="126"/>
      <c r="W48" s="126"/>
      <c r="X48" s="126"/>
      <c r="Y48" s="126"/>
      <c r="Z48" s="131"/>
      <c r="AA48" s="132"/>
      <c r="AB48" s="132"/>
    </row>
    <row r="49" spans="2:28" s="127" customFormat="1">
      <c r="B49" s="122"/>
      <c r="C49" s="123"/>
      <c r="D49" s="123"/>
      <c r="E49" s="122"/>
      <c r="F49" s="124"/>
      <c r="G49" s="124"/>
      <c r="H49" s="124"/>
      <c r="I49" s="124"/>
      <c r="J49" s="124"/>
      <c r="K49" s="124"/>
      <c r="L49" s="124"/>
      <c r="M49" s="124"/>
      <c r="N49" s="124"/>
      <c r="O49" s="124"/>
      <c r="P49" s="124"/>
      <c r="Q49" s="124"/>
      <c r="R49" s="124"/>
      <c r="S49" s="124"/>
      <c r="T49" s="124"/>
      <c r="U49" s="125"/>
      <c r="V49" s="126"/>
      <c r="W49" s="126"/>
      <c r="X49" s="126"/>
      <c r="Y49" s="126"/>
      <c r="Z49" s="131"/>
      <c r="AA49" s="132"/>
      <c r="AB49" s="132"/>
    </row>
    <row r="50" spans="2:28" s="127" customFormat="1">
      <c r="B50" s="122"/>
      <c r="C50" s="123"/>
      <c r="D50" s="123"/>
      <c r="E50" s="122"/>
      <c r="F50" s="124"/>
      <c r="G50" s="124"/>
      <c r="H50" s="124"/>
      <c r="I50" s="124"/>
      <c r="J50" s="124"/>
      <c r="K50" s="124"/>
      <c r="L50" s="124"/>
      <c r="M50" s="124"/>
      <c r="N50" s="124"/>
      <c r="O50" s="124"/>
      <c r="P50" s="124"/>
      <c r="Q50" s="124"/>
      <c r="R50" s="124"/>
      <c r="S50" s="124"/>
      <c r="T50" s="124"/>
      <c r="U50" s="125"/>
      <c r="V50" s="126"/>
      <c r="W50" s="126"/>
      <c r="X50" s="126"/>
      <c r="Y50" s="126"/>
      <c r="Z50" s="131"/>
      <c r="AA50" s="132"/>
      <c r="AB50" s="132"/>
    </row>
    <row r="51" spans="2:28" s="1" customFormat="1">
      <c r="B51" s="4"/>
      <c r="C51" s="5"/>
      <c r="D51" s="5"/>
      <c r="E51" s="5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3"/>
      <c r="V51" s="6"/>
      <c r="W51" s="6"/>
      <c r="X51" s="6"/>
      <c r="Y51" s="6"/>
      <c r="Z51" s="44"/>
      <c r="AA51" s="56"/>
      <c r="AB51" s="56">
        <f>+Z56-AB45</f>
        <v>-952441.33544444432</v>
      </c>
    </row>
    <row r="52" spans="2:28" s="1" customFormat="1" ht="14.1" customHeight="1">
      <c r="B52" s="45"/>
      <c r="C52" s="45"/>
      <c r="D52" s="133"/>
      <c r="E52" s="133"/>
      <c r="F52" s="133"/>
      <c r="G52" s="133"/>
      <c r="H52" s="133"/>
      <c r="I52" s="133"/>
      <c r="J52" s="133"/>
      <c r="K52" s="133"/>
      <c r="L52" s="133"/>
      <c r="M52" s="133"/>
      <c r="N52" s="133"/>
      <c r="O52" s="133"/>
      <c r="P52" s="133"/>
      <c r="Q52" s="133"/>
      <c r="R52" s="133"/>
      <c r="S52" s="45"/>
      <c r="T52" s="45"/>
      <c r="U52" s="46"/>
      <c r="V52" s="331" t="s">
        <v>42</v>
      </c>
      <c r="W52" s="331"/>
      <c r="X52" s="331"/>
      <c r="Y52" s="331"/>
      <c r="Z52" s="47">
        <f>F10</f>
        <v>19535</v>
      </c>
      <c r="AA52" s="56"/>
      <c r="AB52" s="56"/>
    </row>
    <row r="53" spans="2:28" s="1" customFormat="1">
      <c r="B53" s="45"/>
      <c r="C53" s="45"/>
      <c r="D53" s="133"/>
      <c r="E53" s="133"/>
      <c r="F53" s="133"/>
      <c r="G53" s="133"/>
      <c r="H53" s="133"/>
      <c r="I53" s="133"/>
      <c r="J53" s="133"/>
      <c r="K53" s="133"/>
      <c r="L53" s="133"/>
      <c r="M53" s="133"/>
      <c r="N53" s="133"/>
      <c r="O53" s="133"/>
      <c r="P53" s="133"/>
      <c r="Q53" s="133"/>
      <c r="R53" s="133"/>
      <c r="S53" s="336"/>
      <c r="T53" s="336"/>
      <c r="U53" s="45"/>
      <c r="V53" s="45"/>
      <c r="W53" s="45"/>
      <c r="X53" s="45"/>
      <c r="Y53" s="45"/>
      <c r="Z53" s="45"/>
      <c r="AA53" s="56"/>
      <c r="AB53" s="56"/>
    </row>
    <row r="54" spans="2:28" s="1" customFormat="1" ht="14.1" customHeight="1">
      <c r="B54" s="45"/>
      <c r="C54" s="45"/>
      <c r="D54" s="133"/>
      <c r="E54" s="133"/>
      <c r="F54" s="133"/>
      <c r="G54" s="133"/>
      <c r="H54" s="133"/>
      <c r="I54" s="133"/>
      <c r="J54" s="133"/>
      <c r="K54" s="133"/>
      <c r="L54" s="133"/>
      <c r="M54" s="133"/>
      <c r="N54" s="133"/>
      <c r="O54" s="133"/>
      <c r="P54" s="133"/>
      <c r="Q54" s="133"/>
      <c r="R54" s="133"/>
      <c r="S54" s="45"/>
      <c r="T54" s="45"/>
      <c r="U54" s="48"/>
      <c r="V54" s="331" t="s">
        <v>43</v>
      </c>
      <c r="W54" s="331"/>
      <c r="X54" s="331"/>
      <c r="Y54" s="331"/>
      <c r="Z54" s="49">
        <f>Z52+Z45</f>
        <v>3099140.7621999993</v>
      </c>
      <c r="AA54" s="56" t="s">
        <v>45</v>
      </c>
      <c r="AB54" s="56"/>
    </row>
    <row r="55" spans="2:28" s="1" customFormat="1">
      <c r="B55" s="45"/>
      <c r="C55" s="45"/>
      <c r="D55" s="133"/>
      <c r="E55" s="133"/>
      <c r="F55" s="133"/>
      <c r="G55" s="133"/>
      <c r="H55" s="133"/>
      <c r="I55" s="133"/>
      <c r="J55" s="133"/>
      <c r="K55" s="133"/>
      <c r="L55" s="133"/>
      <c r="M55" s="133"/>
      <c r="N55" s="133"/>
      <c r="O55" s="133"/>
      <c r="P55" s="133"/>
      <c r="Q55" s="133"/>
      <c r="R55" s="133"/>
      <c r="S55" s="45"/>
      <c r="T55" s="45"/>
      <c r="U55" s="50"/>
      <c r="V55" s="45"/>
      <c r="W55" s="45"/>
      <c r="X55" s="45"/>
      <c r="Y55" s="45"/>
      <c r="Z55" s="45"/>
      <c r="AA55" s="56"/>
      <c r="AB55" s="56"/>
    </row>
    <row r="56" spans="2:28" s="1" customFormat="1" ht="14.1" customHeight="1">
      <c r="B56" s="45"/>
      <c r="C56" s="45"/>
      <c r="D56" s="133"/>
      <c r="E56" s="133"/>
      <c r="F56" s="133"/>
      <c r="G56" s="133"/>
      <c r="H56" s="133"/>
      <c r="I56" s="133"/>
      <c r="J56" s="133"/>
      <c r="K56" s="133"/>
      <c r="L56" s="133"/>
      <c r="M56" s="133"/>
      <c r="N56" s="133"/>
      <c r="O56" s="133"/>
      <c r="P56" s="133"/>
      <c r="Q56" s="133"/>
      <c r="R56" s="133"/>
      <c r="S56" s="45"/>
      <c r="T56" s="45"/>
      <c r="U56" s="51"/>
      <c r="V56" s="331" t="s">
        <v>44</v>
      </c>
      <c r="W56" s="331"/>
      <c r="X56" s="331"/>
      <c r="Y56" s="331"/>
      <c r="Z56" s="52">
        <v>1928507</v>
      </c>
      <c r="AA56" s="56"/>
      <c r="AB56" s="56"/>
    </row>
    <row r="57" spans="2:28" s="1" customFormat="1" ht="14.1" customHeight="1">
      <c r="B57" s="45"/>
      <c r="C57" s="45"/>
      <c r="D57" s="133"/>
      <c r="E57" s="133"/>
      <c r="F57" s="133"/>
      <c r="G57" s="133"/>
      <c r="H57" s="133"/>
      <c r="I57" s="133"/>
      <c r="J57" s="133"/>
      <c r="K57" s="133"/>
      <c r="L57" s="133"/>
      <c r="M57" s="133"/>
      <c r="N57" s="133"/>
      <c r="O57" s="133"/>
      <c r="P57" s="133"/>
      <c r="Q57" s="133"/>
      <c r="R57" s="133"/>
      <c r="S57" s="45"/>
      <c r="T57" s="45"/>
      <c r="U57" s="51"/>
      <c r="V57" s="54"/>
      <c r="W57" s="54"/>
      <c r="X57" s="54"/>
      <c r="Y57" s="54"/>
      <c r="Z57" s="55"/>
      <c r="AA57" s="56"/>
      <c r="AB57" s="56"/>
    </row>
    <row r="58" spans="2:28">
      <c r="V58" s="59" t="s">
        <v>46</v>
      </c>
      <c r="W58" s="59"/>
      <c r="X58" s="59"/>
      <c r="Y58" s="59"/>
      <c r="Z58" s="134">
        <f>+U45</f>
        <v>2638682</v>
      </c>
    </row>
    <row r="59" spans="2:28">
      <c r="V59" t="s">
        <v>47</v>
      </c>
      <c r="Z59" s="53">
        <f>+U10</f>
        <v>234420</v>
      </c>
    </row>
    <row r="60" spans="2:28">
      <c r="V60" t="s">
        <v>48</v>
      </c>
      <c r="Z60" s="53">
        <f>+V45+W45+X45+Y45</f>
        <v>480095.34420000005</v>
      </c>
    </row>
    <row r="61" spans="2:28">
      <c r="V61" t="s">
        <v>49</v>
      </c>
      <c r="Z61" s="53">
        <f>+AA45</f>
        <v>239425.11944444443</v>
      </c>
    </row>
    <row r="62" spans="2:28" ht="14.7" thickBot="1"/>
    <row r="63" spans="2:28" ht="14.7" thickBot="1">
      <c r="Z63" s="58">
        <f>SUM(Z58:Z62)</f>
        <v>3592622.4636444445</v>
      </c>
    </row>
    <row r="65" spans="22:28">
      <c r="Z65" s="53">
        <f>+Z56-Z63</f>
        <v>-1664115.4636444445</v>
      </c>
    </row>
    <row r="67" spans="22:28">
      <c r="X67" t="s">
        <v>188</v>
      </c>
      <c r="Y67" t="s">
        <v>189</v>
      </c>
    </row>
    <row r="68" spans="22:28">
      <c r="X68" s="156" t="s">
        <v>178</v>
      </c>
      <c r="Y68" s="156" t="s">
        <v>179</v>
      </c>
      <c r="Z68" s="156" t="s">
        <v>190</v>
      </c>
    </row>
    <row r="69" spans="22:28">
      <c r="V69" s="158" t="s">
        <v>180</v>
      </c>
      <c r="X69" s="157">
        <f>AA10</f>
        <v>19535</v>
      </c>
      <c r="Y69" s="157">
        <v>0</v>
      </c>
      <c r="Z69" s="157">
        <f>X69+Y69</f>
        <v>19535</v>
      </c>
    </row>
    <row r="70" spans="22:28">
      <c r="V70" s="158" t="s">
        <v>181</v>
      </c>
      <c r="X70" s="157">
        <v>0</v>
      </c>
      <c r="Y70" s="157">
        <v>0</v>
      </c>
      <c r="Z70" s="157">
        <f t="shared" ref="Z70:Z77" si="11">X70+Y70</f>
        <v>0</v>
      </c>
    </row>
    <row r="71" spans="22:28">
      <c r="V71" s="158" t="s">
        <v>182</v>
      </c>
      <c r="X71" s="157">
        <f>U10</f>
        <v>234420</v>
      </c>
      <c r="Y71" s="157">
        <v>0</v>
      </c>
      <c r="Z71" s="157">
        <f t="shared" si="11"/>
        <v>234420</v>
      </c>
    </row>
    <row r="72" spans="22:28">
      <c r="V72" s="158" t="s">
        <v>183</v>
      </c>
      <c r="X72" s="157">
        <v>0</v>
      </c>
      <c r="Y72" s="157">
        <f>U12+U14+U15+U17+U19+U20+U21+U22+U23+U25+U26+U27+U28+U29+U30+U32+U33+U34+U35+U37+U38+U39+U41+U42+U43+U13</f>
        <v>2638682</v>
      </c>
      <c r="Z72" s="157">
        <f t="shared" si="11"/>
        <v>2638682</v>
      </c>
    </row>
    <row r="73" spans="22:28">
      <c r="V73" s="158" t="s">
        <v>184</v>
      </c>
      <c r="X73" s="157">
        <f>V10</f>
        <v>23442</v>
      </c>
      <c r="Y73" s="157">
        <f>V12+V14+V15+V17+V19+V20+V21+V22+V23+V25+V26+V27+V28+V29+V30+V32+V33+V34+V35+V37+V38+V39+V41+V42+V43+V13</f>
        <v>263868.2</v>
      </c>
      <c r="Z73" s="157">
        <f t="shared" si="11"/>
        <v>287310.2</v>
      </c>
    </row>
    <row r="74" spans="22:28">
      <c r="V74" s="158" t="s">
        <v>185</v>
      </c>
      <c r="X74" s="157">
        <f>W10</f>
        <v>4008.5820000000003</v>
      </c>
      <c r="Y74" s="157">
        <f>W12+W14+W15+W17+W19+W20+W21+W22+W23+W25+W26+W27+W28+W29+W30+W32+W33+W34+W35+W37+W38+W39+W41+W42+W43+W13</f>
        <v>45121.462200000002</v>
      </c>
      <c r="Z74" s="157">
        <f t="shared" si="11"/>
        <v>49130.044200000004</v>
      </c>
    </row>
    <row r="75" spans="22:28">
      <c r="V75" s="158" t="s">
        <v>186</v>
      </c>
      <c r="X75" s="157">
        <f>X10</f>
        <v>7032.5999999999995</v>
      </c>
      <c r="Y75" s="157">
        <f>X12+X14+X15+X17+X19+X20+X21+X22+X23+X25+X26+X27+X28+X29+X30+X32+X33+X34+X35+X37+X38+X39+X41+X42+X43+X13</f>
        <v>79160.459999999992</v>
      </c>
      <c r="Z75" s="157">
        <f t="shared" si="11"/>
        <v>86193.06</v>
      </c>
    </row>
    <row r="76" spans="22:28">
      <c r="V76" s="158" t="s">
        <v>187</v>
      </c>
      <c r="X76" s="157">
        <f>Y10</f>
        <v>4688.4000000000005</v>
      </c>
      <c r="Y76" s="157">
        <f>Y12+Y14+Y15+Y17+Y19+Y20+Y21+Y22+Y23+Y25+Y26+Y27+Y28+Y29+Y30+Y32+Y33+Y34+Y35+Y37+Y38+Y39+Y41+Y42+Y43+Y13</f>
        <v>52773.640000000007</v>
      </c>
      <c r="Z76" s="157">
        <f t="shared" si="11"/>
        <v>57462.040000000008</v>
      </c>
    </row>
    <row r="77" spans="22:28">
      <c r="V77" s="158" t="s">
        <v>191</v>
      </c>
      <c r="X77" s="157"/>
      <c r="Y77" s="157">
        <f>AA12+AA14+AA15+AA17+AA19+AA20+AA21+AA22+AA23+AA25+AA26+AA28+AA27+AA29+AA30+AA32+AA33+AA34+AA35+AA37+AA38+AA39+AA41+AA42+AA43+AA13</f>
        <v>219890.11944444443</v>
      </c>
      <c r="Z77" s="157">
        <f t="shared" si="11"/>
        <v>219890.11944444443</v>
      </c>
    </row>
    <row r="78" spans="22:28">
      <c r="X78" s="157">
        <f>SUM(X69:X77)</f>
        <v>293126.58199999999</v>
      </c>
      <c r="Y78" s="157">
        <f>SUM(Y69:Y77)</f>
        <v>3299495.8816444445</v>
      </c>
      <c r="Z78" s="157">
        <f>SUM(Z69:Z77)</f>
        <v>3592622.4636444445</v>
      </c>
      <c r="AA78" s="53">
        <v>1928507</v>
      </c>
      <c r="AB78" s="53">
        <f>Z78-AA78</f>
        <v>1664115.4636444445</v>
      </c>
    </row>
    <row r="81" spans="1:32">
      <c r="X81" s="156"/>
      <c r="Y81" s="156"/>
      <c r="Z81" s="156"/>
    </row>
    <row r="82" spans="1:32" s="53" customFormat="1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 s="158"/>
      <c r="W82"/>
      <c r="X82" s="157"/>
      <c r="Y82" s="157"/>
      <c r="Z82" s="157"/>
      <c r="AC82"/>
      <c r="AD82"/>
      <c r="AE82"/>
      <c r="AF82"/>
    </row>
    <row r="83" spans="1:32" s="53" customFormat="1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 s="158"/>
      <c r="W83"/>
      <c r="X83" s="157"/>
      <c r="Y83" s="157"/>
      <c r="Z83" s="157"/>
      <c r="AC83"/>
      <c r="AD83"/>
      <c r="AE83"/>
      <c r="AF83"/>
    </row>
    <row r="84" spans="1:32" s="53" customFormat="1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 s="158"/>
      <c r="W84"/>
      <c r="X84" s="157"/>
      <c r="Y84" s="157"/>
      <c r="Z84" s="157"/>
      <c r="AC84"/>
      <c r="AD84"/>
      <c r="AE84"/>
      <c r="AF84"/>
    </row>
    <row r="85" spans="1:32" s="53" customFormat="1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 s="158"/>
      <c r="W85"/>
      <c r="X85" s="157"/>
      <c r="Y85" s="157"/>
      <c r="Z85" s="157"/>
      <c r="AC85"/>
      <c r="AD85"/>
      <c r="AE85"/>
      <c r="AF85"/>
    </row>
    <row r="86" spans="1:32" s="53" customFormat="1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 s="158"/>
      <c r="W86"/>
      <c r="X86" s="157"/>
      <c r="Y86" s="157"/>
      <c r="Z86" s="157"/>
      <c r="AC86"/>
      <c r="AD86"/>
      <c r="AE86"/>
      <c r="AF86"/>
    </row>
    <row r="87" spans="1:32" s="53" customFormat="1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 s="158"/>
      <c r="W87"/>
      <c r="X87" s="157"/>
      <c r="Y87" s="157"/>
      <c r="Z87" s="157"/>
      <c r="AC87"/>
      <c r="AD87"/>
      <c r="AE87"/>
      <c r="AF87"/>
    </row>
    <row r="88" spans="1:32" s="53" customFormat="1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 s="158"/>
      <c r="W88"/>
      <c r="X88" s="157"/>
      <c r="Y88" s="157"/>
      <c r="Z88" s="157"/>
      <c r="AC88"/>
      <c r="AD88"/>
      <c r="AE88"/>
      <c r="AF88"/>
    </row>
    <row r="89" spans="1:32" s="53" customFormat="1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 s="158"/>
      <c r="W89"/>
      <c r="X89" s="157"/>
      <c r="Y89" s="157"/>
      <c r="Z89" s="157"/>
      <c r="AC89"/>
      <c r="AD89"/>
      <c r="AE89"/>
      <c r="AF89"/>
    </row>
    <row r="90" spans="1:32" s="53" customFormat="1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 s="158"/>
      <c r="W90"/>
      <c r="X90" s="157"/>
      <c r="Y90" s="157"/>
      <c r="Z90" s="157"/>
      <c r="AC90"/>
      <c r="AD90"/>
      <c r="AE90"/>
      <c r="AF90"/>
    </row>
    <row r="91" spans="1:32" s="53" customFormat="1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 s="157"/>
      <c r="Y91" s="157"/>
      <c r="Z91" s="157"/>
      <c r="AC91"/>
      <c r="AD91"/>
      <c r="AE91"/>
      <c r="AF91"/>
    </row>
  </sheetData>
  <mergeCells count="18">
    <mergeCell ref="V54:Y54"/>
    <mergeCell ref="V56:Y56"/>
    <mergeCell ref="U5:U6"/>
    <mergeCell ref="V5:Y5"/>
    <mergeCell ref="Z5:Z6"/>
    <mergeCell ref="AA5:AA6"/>
    <mergeCell ref="V52:Y52"/>
    <mergeCell ref="S53:T53"/>
    <mergeCell ref="B2:Z2"/>
    <mergeCell ref="V4:Y4"/>
    <mergeCell ref="B5:B6"/>
    <mergeCell ref="C5:C6"/>
    <mergeCell ref="D5:D6"/>
    <mergeCell ref="E5:E6"/>
    <mergeCell ref="F5:F6"/>
    <mergeCell ref="G5:R5"/>
    <mergeCell ref="S5:S6"/>
    <mergeCell ref="T5:T6"/>
  </mergeCells>
  <pageMargins left="0.51181102362204722" right="0.11811023622047245" top="0.35433070866141736" bottom="0.55118110236220474" header="0.31496062992125984" footer="0.31496062992125984"/>
  <pageSetup scale="60" orientation="landscape" verticalDpi="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F91"/>
  <sheetViews>
    <sheetView workbookViewId="0"/>
  </sheetViews>
  <sheetFormatPr baseColWidth="10" defaultRowHeight="14.4"/>
  <cols>
    <col min="1" max="1" width="4.89453125" customWidth="1"/>
    <col min="2" max="2" width="30.41796875" customWidth="1"/>
    <col min="3" max="3" width="5.41796875" customWidth="1"/>
    <col min="4" max="5" width="7.41796875" customWidth="1"/>
    <col min="6" max="6" width="9.5234375" customWidth="1"/>
    <col min="7" max="8" width="4.89453125" customWidth="1"/>
    <col min="9" max="18" width="4.5234375" customWidth="1"/>
    <col min="19" max="20" width="7.5234375" customWidth="1"/>
    <col min="21" max="21" width="14" customWidth="1"/>
    <col min="22" max="22" width="13.41796875" customWidth="1"/>
    <col min="23" max="23" width="11.5234375" customWidth="1"/>
    <col min="24" max="24" width="11.68359375" customWidth="1"/>
    <col min="25" max="25" width="12.41796875" customWidth="1"/>
    <col min="26" max="26" width="16" customWidth="1"/>
    <col min="27" max="27" width="17.3125" style="53" customWidth="1"/>
    <col min="28" max="28" width="15.5234375" style="53" customWidth="1"/>
  </cols>
  <sheetData>
    <row r="2" spans="1:28" s="1" customFormat="1" ht="51" customHeight="1">
      <c r="B2" s="337" t="s">
        <v>166</v>
      </c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337"/>
      <c r="P2" s="337"/>
      <c r="Q2" s="337"/>
      <c r="R2" s="337"/>
      <c r="S2" s="337"/>
      <c r="T2" s="337"/>
      <c r="U2" s="337"/>
      <c r="V2" s="337"/>
      <c r="W2" s="337"/>
      <c r="X2" s="337"/>
      <c r="Y2" s="337"/>
      <c r="Z2" s="337"/>
      <c r="AA2" s="56"/>
      <c r="AB2" s="56"/>
    </row>
    <row r="3" spans="1:28" s="1" customFormat="1">
      <c r="B3" s="2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AA3" s="56"/>
      <c r="AB3" s="56"/>
    </row>
    <row r="4" spans="1:28" s="1" customFormat="1">
      <c r="B4" s="4"/>
      <c r="C4" s="5"/>
      <c r="D4" s="5"/>
      <c r="E4" s="5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6"/>
      <c r="V4" s="338"/>
      <c r="W4" s="338"/>
      <c r="X4" s="338"/>
      <c r="Y4" s="338"/>
      <c r="AA4" s="56"/>
      <c r="AB4" s="56"/>
    </row>
    <row r="5" spans="1:28" s="1" customFormat="1" ht="13.35" customHeight="1">
      <c r="B5" s="332" t="s">
        <v>1</v>
      </c>
      <c r="C5" s="332" t="s">
        <v>2</v>
      </c>
      <c r="D5" s="339" t="s">
        <v>3</v>
      </c>
      <c r="E5" s="333" t="s">
        <v>4</v>
      </c>
      <c r="F5" s="332" t="s">
        <v>5</v>
      </c>
      <c r="G5" s="341" t="s">
        <v>6</v>
      </c>
      <c r="H5" s="342"/>
      <c r="I5" s="342"/>
      <c r="J5" s="342"/>
      <c r="K5" s="342"/>
      <c r="L5" s="342"/>
      <c r="M5" s="342"/>
      <c r="N5" s="342"/>
      <c r="O5" s="342"/>
      <c r="P5" s="342"/>
      <c r="Q5" s="342"/>
      <c r="R5" s="343"/>
      <c r="S5" s="332" t="s">
        <v>7</v>
      </c>
      <c r="T5" s="339" t="s">
        <v>8</v>
      </c>
      <c r="U5" s="332" t="s">
        <v>9</v>
      </c>
      <c r="V5" s="333" t="s">
        <v>10</v>
      </c>
      <c r="W5" s="333"/>
      <c r="X5" s="333"/>
      <c r="Y5" s="333"/>
      <c r="Z5" s="334" t="s">
        <v>50</v>
      </c>
      <c r="AA5" s="335" t="s">
        <v>51</v>
      </c>
      <c r="AB5" s="56"/>
    </row>
    <row r="6" spans="1:28" s="1" customFormat="1" ht="24.75" customHeight="1">
      <c r="B6" s="332"/>
      <c r="C6" s="332"/>
      <c r="D6" s="340"/>
      <c r="E6" s="333"/>
      <c r="F6" s="332"/>
      <c r="G6" s="135" t="s">
        <v>11</v>
      </c>
      <c r="H6" s="136" t="s">
        <v>12</v>
      </c>
      <c r="I6" s="136" t="s">
        <v>13</v>
      </c>
      <c r="J6" s="136" t="s">
        <v>14</v>
      </c>
      <c r="K6" s="136" t="s">
        <v>15</v>
      </c>
      <c r="L6" s="136" t="s">
        <v>16</v>
      </c>
      <c r="M6" s="136" t="s">
        <v>17</v>
      </c>
      <c r="N6" s="136" t="s">
        <v>18</v>
      </c>
      <c r="O6" s="136" t="s">
        <v>19</v>
      </c>
      <c r="P6" s="136" t="s">
        <v>20</v>
      </c>
      <c r="Q6" s="136" t="s">
        <v>21</v>
      </c>
      <c r="R6" s="136" t="s">
        <v>22</v>
      </c>
      <c r="S6" s="332"/>
      <c r="T6" s="340"/>
      <c r="U6" s="332"/>
      <c r="V6" s="137" t="s">
        <v>23</v>
      </c>
      <c r="W6" s="138" t="s">
        <v>24</v>
      </c>
      <c r="X6" s="138" t="s">
        <v>25</v>
      </c>
      <c r="Y6" s="138" t="s">
        <v>26</v>
      </c>
      <c r="Z6" s="334"/>
      <c r="AA6" s="335"/>
      <c r="AB6" s="56"/>
    </row>
    <row r="7" spans="1:28" s="1" customFormat="1">
      <c r="B7" s="4"/>
      <c r="C7" s="5"/>
      <c r="D7" s="5"/>
      <c r="E7" s="5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6"/>
      <c r="V7" s="6"/>
      <c r="W7" s="6"/>
      <c r="X7" s="6"/>
      <c r="Y7" s="6"/>
      <c r="Z7" s="8"/>
      <c r="AA7" s="56"/>
      <c r="AB7" s="56"/>
    </row>
    <row r="8" spans="1:28" s="1" customFormat="1">
      <c r="B8" s="139" t="s">
        <v>27</v>
      </c>
      <c r="C8" s="140"/>
      <c r="D8" s="140"/>
      <c r="E8" s="140"/>
      <c r="F8" s="141"/>
      <c r="G8" s="141"/>
      <c r="H8" s="141"/>
      <c r="I8" s="141"/>
      <c r="J8" s="141"/>
      <c r="K8" s="141"/>
      <c r="L8" s="141"/>
      <c r="M8" s="141"/>
      <c r="N8" s="141"/>
      <c r="O8" s="141"/>
      <c r="P8" s="141"/>
      <c r="Q8" s="141"/>
      <c r="R8" s="141"/>
      <c r="S8" s="141"/>
      <c r="T8" s="141"/>
      <c r="U8" s="141"/>
      <c r="V8" s="141"/>
      <c r="W8" s="141"/>
      <c r="X8" s="141"/>
      <c r="Y8" s="141"/>
      <c r="Z8" s="142"/>
      <c r="AA8" s="56"/>
      <c r="AB8" s="56"/>
    </row>
    <row r="9" spans="1:28" s="1" customFormat="1">
      <c r="B9" s="9"/>
      <c r="C9" s="10"/>
      <c r="D9" s="10"/>
      <c r="E9" s="10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2"/>
      <c r="AA9" s="56"/>
      <c r="AB9" s="56"/>
    </row>
    <row r="10" spans="1:28" s="1" customFormat="1">
      <c r="A10" s="1">
        <v>1</v>
      </c>
      <c r="B10" s="13" t="s">
        <v>28</v>
      </c>
      <c r="C10" s="14" t="s">
        <v>29</v>
      </c>
      <c r="D10" s="14">
        <v>2022</v>
      </c>
      <c r="E10" s="15" t="s">
        <v>30</v>
      </c>
      <c r="F10" s="16">
        <v>19535</v>
      </c>
      <c r="G10" s="17">
        <v>30</v>
      </c>
      <c r="H10" s="17">
        <v>30</v>
      </c>
      <c r="I10" s="17">
        <v>30</v>
      </c>
      <c r="J10" s="17">
        <v>30</v>
      </c>
      <c r="K10" s="17">
        <v>30</v>
      </c>
      <c r="L10" s="17">
        <v>30</v>
      </c>
      <c r="M10" s="17">
        <v>30</v>
      </c>
      <c r="N10" s="17">
        <v>30</v>
      </c>
      <c r="O10" s="17">
        <v>30</v>
      </c>
      <c r="P10" s="17">
        <v>30</v>
      </c>
      <c r="Q10" s="17">
        <v>30</v>
      </c>
      <c r="R10" s="17">
        <v>30</v>
      </c>
      <c r="S10" s="15">
        <f>SUM(G10:R10)</f>
        <v>360</v>
      </c>
      <c r="T10" s="18">
        <f>+S10/30</f>
        <v>12</v>
      </c>
      <c r="U10" s="16">
        <f>ROUND(PRODUCT(F10*T10),0)</f>
        <v>234420</v>
      </c>
      <c r="V10" s="16">
        <f>U10*0.1</f>
        <v>23442</v>
      </c>
      <c r="W10" s="16">
        <f>U10*0.0171</f>
        <v>4008.5820000000003</v>
      </c>
      <c r="X10" s="16">
        <f>U10*0.03</f>
        <v>7032.5999999999995</v>
      </c>
      <c r="Y10" s="19">
        <f>U10*0.02</f>
        <v>4688.4000000000005</v>
      </c>
      <c r="Z10" s="17">
        <f>SUM(U10:Y10)</f>
        <v>273591.58199999999</v>
      </c>
      <c r="AA10" s="56">
        <f>+F10*S10/360</f>
        <v>19535</v>
      </c>
      <c r="AB10" s="56">
        <f>+AA10+Z10</f>
        <v>293126.58199999999</v>
      </c>
    </row>
    <row r="11" spans="1:28" s="1" customFormat="1">
      <c r="B11" s="143" t="s">
        <v>31</v>
      </c>
      <c r="C11" s="144"/>
      <c r="D11" s="144"/>
      <c r="E11" s="145"/>
      <c r="F11" s="146"/>
      <c r="G11" s="146"/>
      <c r="H11" s="146"/>
      <c r="I11" s="146"/>
      <c r="J11" s="146"/>
      <c r="K11" s="146"/>
      <c r="L11" s="146"/>
      <c r="M11" s="146"/>
      <c r="N11" s="146"/>
      <c r="O11" s="146"/>
      <c r="P11" s="146"/>
      <c r="Q11" s="146"/>
      <c r="R11" s="146"/>
      <c r="S11" s="145"/>
      <c r="T11" s="147"/>
      <c r="U11" s="148"/>
      <c r="V11" s="149"/>
      <c r="W11" s="149"/>
      <c r="X11" s="149"/>
      <c r="Y11" s="150"/>
      <c r="Z11" s="149"/>
      <c r="AA11" s="56"/>
      <c r="AB11" s="56">
        <f t="shared" ref="AB11:AB44" si="0">+AA11+Z11</f>
        <v>0</v>
      </c>
    </row>
    <row r="12" spans="1:28" s="166" customFormat="1" ht="20.399999999999999">
      <c r="A12" s="166">
        <f>A10+1</f>
        <v>2</v>
      </c>
      <c r="B12" s="159" t="s">
        <v>241</v>
      </c>
      <c r="C12" s="160" t="s">
        <v>32</v>
      </c>
      <c r="D12" s="160">
        <v>2022</v>
      </c>
      <c r="E12" s="161" t="s">
        <v>30</v>
      </c>
      <c r="F12" s="162">
        <v>9282</v>
      </c>
      <c r="G12" s="163">
        <v>29</v>
      </c>
      <c r="H12" s="163">
        <v>30</v>
      </c>
      <c r="I12" s="163">
        <v>30</v>
      </c>
      <c r="J12" s="163">
        <v>30</v>
      </c>
      <c r="K12" s="163">
        <v>30</v>
      </c>
      <c r="L12" s="163">
        <v>30</v>
      </c>
      <c r="M12" s="163">
        <v>30</v>
      </c>
      <c r="N12" s="163">
        <v>30</v>
      </c>
      <c r="O12" s="163">
        <v>30</v>
      </c>
      <c r="P12" s="163">
        <v>30</v>
      </c>
      <c r="Q12" s="163">
        <v>30</v>
      </c>
      <c r="R12" s="163">
        <v>30</v>
      </c>
      <c r="S12" s="161">
        <f>SUM(G12:R12)</f>
        <v>359</v>
      </c>
      <c r="T12" s="164">
        <f t="shared" ref="T12:T30" si="1">+S12/30</f>
        <v>11.966666666666667</v>
      </c>
      <c r="U12" s="162">
        <f>ROUND(PRODUCT(F12*T12),0)</f>
        <v>111075</v>
      </c>
      <c r="V12" s="163">
        <f>U12*0.1</f>
        <v>11107.5</v>
      </c>
      <c r="W12" s="163">
        <f>U12*0.0171</f>
        <v>1899.3825000000002</v>
      </c>
      <c r="X12" s="163">
        <f>U12*0.03</f>
        <v>3332.25</v>
      </c>
      <c r="Y12" s="165">
        <f>U12*0.02</f>
        <v>2221.5</v>
      </c>
      <c r="Z12" s="163">
        <f>SUM(U12:Y12)</f>
        <v>129635.63250000001</v>
      </c>
      <c r="AA12" s="167">
        <f>+F12*S12/360</f>
        <v>9256.2166666666672</v>
      </c>
      <c r="AB12" s="167">
        <f t="shared" si="0"/>
        <v>138891.84916666668</v>
      </c>
    </row>
    <row r="13" spans="1:28" s="1" customFormat="1" ht="21" customHeight="1">
      <c r="A13" s="1">
        <f>A11+1</f>
        <v>1</v>
      </c>
      <c r="B13" s="13" t="s">
        <v>242</v>
      </c>
      <c r="C13" s="14" t="s">
        <v>32</v>
      </c>
      <c r="D13" s="14">
        <v>2022</v>
      </c>
      <c r="E13" s="15" t="s">
        <v>30</v>
      </c>
      <c r="F13" s="29">
        <v>5494</v>
      </c>
      <c r="G13" s="17">
        <v>0</v>
      </c>
      <c r="H13" s="17">
        <v>30</v>
      </c>
      <c r="I13" s="17">
        <v>30</v>
      </c>
      <c r="J13" s="17">
        <v>0</v>
      </c>
      <c r="K13" s="17">
        <v>0</v>
      </c>
      <c r="L13" s="17">
        <v>0</v>
      </c>
      <c r="M13" s="17">
        <v>0</v>
      </c>
      <c r="N13" s="17">
        <v>0</v>
      </c>
      <c r="O13" s="17">
        <v>0</v>
      </c>
      <c r="P13" s="17">
        <v>0</v>
      </c>
      <c r="Q13" s="17">
        <v>0</v>
      </c>
      <c r="R13" s="17">
        <v>0</v>
      </c>
      <c r="S13" s="15">
        <f>SUM(G13:R13)</f>
        <v>60</v>
      </c>
      <c r="T13" s="18">
        <f>+S13/30</f>
        <v>2</v>
      </c>
      <c r="U13" s="16">
        <f>ROUND(PRODUCT(F13*T13),0)</f>
        <v>10988</v>
      </c>
      <c r="V13" s="17">
        <f>U13*0.1</f>
        <v>1098.8</v>
      </c>
      <c r="W13" s="17">
        <f>U13*0.0171</f>
        <v>187.8948</v>
      </c>
      <c r="X13" s="17">
        <f>U13*0.03</f>
        <v>329.64</v>
      </c>
      <c r="Y13" s="19">
        <f>U13*0.02</f>
        <v>219.76</v>
      </c>
      <c r="Z13" s="17">
        <f>SUM(U13:Y13)</f>
        <v>12824.094799999999</v>
      </c>
      <c r="AA13" s="167">
        <v>0</v>
      </c>
      <c r="AB13" s="56">
        <f>+AA13+Z13</f>
        <v>12824.094799999999</v>
      </c>
    </row>
    <row r="14" spans="1:28" s="1" customFormat="1" ht="30.75" customHeight="1">
      <c r="A14" s="1">
        <f>A12+1</f>
        <v>3</v>
      </c>
      <c r="B14" s="13" t="s">
        <v>219</v>
      </c>
      <c r="C14" s="14" t="s">
        <v>32</v>
      </c>
      <c r="D14" s="14">
        <v>2022</v>
      </c>
      <c r="E14" s="15" t="s">
        <v>30</v>
      </c>
      <c r="F14" s="16">
        <v>5971</v>
      </c>
      <c r="G14" s="17">
        <v>15</v>
      </c>
      <c r="H14" s="17">
        <v>30</v>
      </c>
      <c r="I14" s="17">
        <v>30</v>
      </c>
      <c r="J14" s="17">
        <v>30</v>
      </c>
      <c r="K14" s="17">
        <v>30</v>
      </c>
      <c r="L14" s="17">
        <v>30</v>
      </c>
      <c r="M14" s="17">
        <v>30</v>
      </c>
      <c r="N14" s="17">
        <v>30</v>
      </c>
      <c r="O14" s="17">
        <v>30</v>
      </c>
      <c r="P14" s="17">
        <v>30</v>
      </c>
      <c r="Q14" s="17">
        <v>30</v>
      </c>
      <c r="R14" s="17">
        <v>30</v>
      </c>
      <c r="S14" s="15">
        <f t="shared" ref="S14:S43" si="2">SUM(G14:R14)</f>
        <v>345</v>
      </c>
      <c r="T14" s="18">
        <f t="shared" si="1"/>
        <v>11.5</v>
      </c>
      <c r="U14" s="16">
        <f>ROUND(PRODUCT(F14*T14),0)</f>
        <v>68667</v>
      </c>
      <c r="V14" s="17">
        <f>U14*0.1</f>
        <v>6866.7000000000007</v>
      </c>
      <c r="W14" s="17">
        <f>U14*0.0171</f>
        <v>1174.2057</v>
      </c>
      <c r="X14" s="17">
        <f>U14*0.03</f>
        <v>2060.0099999999998</v>
      </c>
      <c r="Y14" s="19">
        <f>U14*0.02</f>
        <v>1373.34</v>
      </c>
      <c r="Z14" s="17">
        <f>SUM(U14:Y14)</f>
        <v>80141.255699999994</v>
      </c>
      <c r="AA14" s="167">
        <f>+F14*S14/360</f>
        <v>5722.208333333333</v>
      </c>
      <c r="AB14" s="56">
        <f t="shared" si="0"/>
        <v>85863.464033333323</v>
      </c>
    </row>
    <row r="15" spans="1:28" s="1" customFormat="1">
      <c r="A15" s="1">
        <f>A14+1</f>
        <v>4</v>
      </c>
      <c r="B15" s="13" t="s">
        <v>220</v>
      </c>
      <c r="C15" s="27" t="s">
        <v>32</v>
      </c>
      <c r="D15" s="14">
        <v>2022</v>
      </c>
      <c r="E15" s="28" t="s">
        <v>30</v>
      </c>
      <c r="F15" s="29">
        <v>8689</v>
      </c>
      <c r="G15" s="30">
        <v>0</v>
      </c>
      <c r="H15" s="30">
        <v>30</v>
      </c>
      <c r="I15" s="30">
        <v>30</v>
      </c>
      <c r="J15" s="30">
        <v>30</v>
      </c>
      <c r="K15" s="30">
        <v>30</v>
      </c>
      <c r="L15" s="30">
        <v>30</v>
      </c>
      <c r="M15" s="30">
        <v>30</v>
      </c>
      <c r="N15" s="30">
        <v>30</v>
      </c>
      <c r="O15" s="30">
        <v>30</v>
      </c>
      <c r="P15" s="30">
        <v>30</v>
      </c>
      <c r="Q15" s="30">
        <v>30</v>
      </c>
      <c r="R15" s="30">
        <v>30</v>
      </c>
      <c r="S15" s="15">
        <f t="shared" si="2"/>
        <v>330</v>
      </c>
      <c r="T15" s="18">
        <f t="shared" si="1"/>
        <v>11</v>
      </c>
      <c r="U15" s="16">
        <f>ROUND(PRODUCT(F15*T15),0)</f>
        <v>95579</v>
      </c>
      <c r="V15" s="17">
        <f>U15*0.1</f>
        <v>9557.9</v>
      </c>
      <c r="W15" s="17">
        <f>U15*0.0171</f>
        <v>1634.4009000000001</v>
      </c>
      <c r="X15" s="17">
        <f>U15*0.03</f>
        <v>2867.37</v>
      </c>
      <c r="Y15" s="19">
        <f>U15*0.02</f>
        <v>1911.58</v>
      </c>
      <c r="Z15" s="17">
        <f>SUM(U15:Y15)</f>
        <v>111550.25089999998</v>
      </c>
      <c r="AA15" s="167">
        <f>+F15*S15/360</f>
        <v>7964.916666666667</v>
      </c>
      <c r="AB15" s="56">
        <f t="shared" si="0"/>
        <v>119515.16756666666</v>
      </c>
    </row>
    <row r="16" spans="1:28" s="1" customFormat="1">
      <c r="B16" s="151" t="s">
        <v>34</v>
      </c>
      <c r="C16" s="152"/>
      <c r="D16" s="152"/>
      <c r="E16" s="152"/>
      <c r="F16" s="152"/>
      <c r="G16" s="152"/>
      <c r="H16" s="152"/>
      <c r="I16" s="152"/>
      <c r="J16" s="152"/>
      <c r="K16" s="152"/>
      <c r="L16" s="152"/>
      <c r="M16" s="152"/>
      <c r="N16" s="152"/>
      <c r="O16" s="152"/>
      <c r="P16" s="152"/>
      <c r="Q16" s="152"/>
      <c r="R16" s="152"/>
      <c r="S16" s="152"/>
      <c r="T16" s="147"/>
      <c r="U16" s="148"/>
      <c r="V16" s="152"/>
      <c r="W16" s="152"/>
      <c r="X16" s="152"/>
      <c r="Y16" s="152"/>
      <c r="Z16" s="149"/>
      <c r="AA16" s="56"/>
      <c r="AB16" s="56">
        <f t="shared" si="0"/>
        <v>0</v>
      </c>
    </row>
    <row r="17" spans="1:28" s="1" customFormat="1">
      <c r="A17" s="1">
        <f>A15+1</f>
        <v>5</v>
      </c>
      <c r="B17" s="13" t="s">
        <v>221</v>
      </c>
      <c r="C17" s="14" t="s">
        <v>32</v>
      </c>
      <c r="D17" s="14">
        <v>2022</v>
      </c>
      <c r="E17" s="15" t="s">
        <v>30</v>
      </c>
      <c r="F17" s="29">
        <v>9282</v>
      </c>
      <c r="G17" s="17">
        <v>26</v>
      </c>
      <c r="H17" s="17">
        <v>30</v>
      </c>
      <c r="I17" s="17">
        <v>30</v>
      </c>
      <c r="J17" s="17">
        <v>0</v>
      </c>
      <c r="K17" s="17">
        <v>0</v>
      </c>
      <c r="L17" s="17">
        <v>0</v>
      </c>
      <c r="M17" s="17">
        <v>0</v>
      </c>
      <c r="N17" s="17">
        <v>0</v>
      </c>
      <c r="O17" s="17">
        <v>0</v>
      </c>
      <c r="P17" s="17">
        <v>0</v>
      </c>
      <c r="Q17" s="17">
        <v>30</v>
      </c>
      <c r="R17" s="17">
        <v>30</v>
      </c>
      <c r="S17" s="15">
        <f t="shared" si="2"/>
        <v>146</v>
      </c>
      <c r="T17" s="18">
        <f t="shared" si="1"/>
        <v>4.8666666666666663</v>
      </c>
      <c r="U17" s="16">
        <f>ROUND(PRODUCT(F17*T17),0)</f>
        <v>45172</v>
      </c>
      <c r="V17" s="17">
        <f>U17*0.1</f>
        <v>4517.2</v>
      </c>
      <c r="W17" s="17">
        <f>U17*0.0171</f>
        <v>772.44119999999998</v>
      </c>
      <c r="X17" s="17">
        <f>U17*0.03</f>
        <v>1355.1599999999999</v>
      </c>
      <c r="Y17" s="19">
        <f>U17*0.02</f>
        <v>903.44</v>
      </c>
      <c r="Z17" s="17">
        <f>SUM(U17:Y17)</f>
        <v>52720.241200000004</v>
      </c>
      <c r="AA17" s="56"/>
      <c r="AB17" s="56">
        <f t="shared" si="0"/>
        <v>52720.241200000004</v>
      </c>
    </row>
    <row r="18" spans="1:28" s="1" customFormat="1" ht="21">
      <c r="B18" s="143" t="s">
        <v>167</v>
      </c>
      <c r="C18" s="144"/>
      <c r="D18" s="144"/>
      <c r="E18" s="145"/>
      <c r="F18" s="146"/>
      <c r="G18" s="149"/>
      <c r="H18" s="149"/>
      <c r="I18" s="149"/>
      <c r="J18" s="149"/>
      <c r="K18" s="149"/>
      <c r="L18" s="149"/>
      <c r="M18" s="149"/>
      <c r="N18" s="149"/>
      <c r="O18" s="149"/>
      <c r="P18" s="149"/>
      <c r="Q18" s="149"/>
      <c r="R18" s="149"/>
      <c r="S18" s="145"/>
      <c r="T18" s="147"/>
      <c r="U18" s="146"/>
      <c r="V18" s="149"/>
      <c r="W18" s="149"/>
      <c r="X18" s="149"/>
      <c r="Y18" s="150"/>
      <c r="Z18" s="149"/>
      <c r="AA18" s="56"/>
      <c r="AB18" s="56"/>
    </row>
    <row r="19" spans="1:28" s="1" customFormat="1" ht="26.25" customHeight="1">
      <c r="A19" s="1">
        <f>A17+1</f>
        <v>6</v>
      </c>
      <c r="B19" s="13" t="s">
        <v>222</v>
      </c>
      <c r="C19" s="14" t="s">
        <v>32</v>
      </c>
      <c r="D19" s="14">
        <v>2022</v>
      </c>
      <c r="E19" s="15" t="s">
        <v>30</v>
      </c>
      <c r="F19" s="16">
        <v>13738</v>
      </c>
      <c r="G19" s="17">
        <v>26</v>
      </c>
      <c r="H19" s="17">
        <v>30</v>
      </c>
      <c r="I19" s="17">
        <v>30</v>
      </c>
      <c r="J19" s="17">
        <v>30</v>
      </c>
      <c r="K19" s="17">
        <v>30</v>
      </c>
      <c r="L19" s="17">
        <v>30</v>
      </c>
      <c r="M19" s="17">
        <v>30</v>
      </c>
      <c r="N19" s="17">
        <v>30</v>
      </c>
      <c r="O19" s="17">
        <v>30</v>
      </c>
      <c r="P19" s="17">
        <v>30</v>
      </c>
      <c r="Q19" s="17">
        <v>30</v>
      </c>
      <c r="R19" s="17">
        <v>30</v>
      </c>
      <c r="S19" s="15">
        <f t="shared" si="2"/>
        <v>356</v>
      </c>
      <c r="T19" s="18">
        <f>+S19/30</f>
        <v>11.866666666666667</v>
      </c>
      <c r="U19" s="16">
        <f>ROUND(PRODUCT(F19*T19),0)</f>
        <v>163024</v>
      </c>
      <c r="V19" s="17">
        <f>U19*0.1</f>
        <v>16302.400000000001</v>
      </c>
      <c r="W19" s="17">
        <f>U19*0.0171</f>
        <v>2787.7103999999999</v>
      </c>
      <c r="X19" s="17">
        <f>U19*0.03</f>
        <v>4890.72</v>
      </c>
      <c r="Y19" s="19">
        <f>U19*0.02</f>
        <v>3260.48</v>
      </c>
      <c r="Z19" s="17">
        <f>SUM(U19:Y19)</f>
        <v>190265.31040000002</v>
      </c>
      <c r="AA19" s="56">
        <f>+F19*S19/360</f>
        <v>13585.355555555556</v>
      </c>
      <c r="AB19" s="56">
        <f>+AA19+Z19</f>
        <v>203850.66595555557</v>
      </c>
    </row>
    <row r="20" spans="1:28" s="1" customFormat="1" ht="26.25" customHeight="1">
      <c r="A20" s="1">
        <f>A19+1</f>
        <v>7</v>
      </c>
      <c r="B20" s="13" t="s">
        <v>223</v>
      </c>
      <c r="C20" s="14" t="s">
        <v>32</v>
      </c>
      <c r="D20" s="14">
        <v>2022</v>
      </c>
      <c r="E20" s="15" t="s">
        <v>30</v>
      </c>
      <c r="F20" s="16">
        <v>8689</v>
      </c>
      <c r="G20" s="17">
        <v>0</v>
      </c>
      <c r="H20" s="17">
        <v>0</v>
      </c>
      <c r="I20" s="17">
        <v>0</v>
      </c>
      <c r="J20" s="17">
        <v>0</v>
      </c>
      <c r="K20" s="17"/>
      <c r="L20" s="17">
        <v>30</v>
      </c>
      <c r="M20" s="17">
        <v>30</v>
      </c>
      <c r="N20" s="17">
        <v>30</v>
      </c>
      <c r="O20" s="17">
        <v>30</v>
      </c>
      <c r="P20" s="17">
        <v>30</v>
      </c>
      <c r="Q20" s="17">
        <v>0</v>
      </c>
      <c r="R20" s="17">
        <v>0</v>
      </c>
      <c r="S20" s="15">
        <f t="shared" si="2"/>
        <v>150</v>
      </c>
      <c r="T20" s="18">
        <f>+S20/30</f>
        <v>5</v>
      </c>
      <c r="U20" s="16">
        <f>ROUND(PRODUCT(F20*T20),0)</f>
        <v>43445</v>
      </c>
      <c r="V20" s="17">
        <f>U20*0.1</f>
        <v>4344.5</v>
      </c>
      <c r="W20" s="17">
        <f>U20*0.0171</f>
        <v>742.90949999999998</v>
      </c>
      <c r="X20" s="17">
        <f>U20*0.03</f>
        <v>1303.3499999999999</v>
      </c>
      <c r="Y20" s="19">
        <f>U20*0.02</f>
        <v>868.9</v>
      </c>
      <c r="Z20" s="17">
        <f>SUM(U20:Y20)</f>
        <v>50704.659500000002</v>
      </c>
      <c r="AA20" s="56">
        <f>+F20*S20/360</f>
        <v>3620.4166666666665</v>
      </c>
      <c r="AB20" s="56"/>
    </row>
    <row r="21" spans="1:28" s="1" customFormat="1" ht="26.25" customHeight="1">
      <c r="A21" s="1">
        <f>A20+1</f>
        <v>8</v>
      </c>
      <c r="B21" s="159" t="s">
        <v>224</v>
      </c>
      <c r="C21" s="160" t="s">
        <v>207</v>
      </c>
      <c r="D21" s="160">
        <v>2022</v>
      </c>
      <c r="E21" s="161" t="s">
        <v>30</v>
      </c>
      <c r="F21" s="16">
        <v>8689</v>
      </c>
      <c r="G21" s="163">
        <v>0</v>
      </c>
      <c r="H21" s="163">
        <v>0</v>
      </c>
      <c r="I21" s="163">
        <v>0</v>
      </c>
      <c r="J21" s="163">
        <v>0</v>
      </c>
      <c r="K21" s="163">
        <v>0</v>
      </c>
      <c r="L21" s="163">
        <v>30</v>
      </c>
      <c r="M21" s="163">
        <v>0</v>
      </c>
      <c r="N21" s="163">
        <v>0</v>
      </c>
      <c r="O21" s="163">
        <v>0</v>
      </c>
      <c r="P21" s="163">
        <v>0</v>
      </c>
      <c r="Q21" s="163">
        <v>0</v>
      </c>
      <c r="R21" s="163">
        <v>0</v>
      </c>
      <c r="S21" s="161">
        <f t="shared" si="2"/>
        <v>30</v>
      </c>
      <c r="T21" s="164">
        <f>+S21/30</f>
        <v>1</v>
      </c>
      <c r="U21" s="162">
        <f>ROUND(PRODUCT(F21*T21),0)</f>
        <v>8689</v>
      </c>
      <c r="V21" s="163">
        <f>U21*0.1</f>
        <v>868.90000000000009</v>
      </c>
      <c r="W21" s="163">
        <f>U21*0.0171</f>
        <v>148.58190000000002</v>
      </c>
      <c r="X21" s="163">
        <f>U21*0.03</f>
        <v>260.67</v>
      </c>
      <c r="Y21" s="165">
        <f>U21*0.02</f>
        <v>173.78</v>
      </c>
      <c r="Z21" s="163">
        <f>SUM(U21:Y21)</f>
        <v>10140.9319</v>
      </c>
      <c r="AA21" s="56">
        <v>0</v>
      </c>
      <c r="AB21" s="56"/>
    </row>
    <row r="22" spans="1:28" s="1" customFormat="1" ht="26.25" customHeight="1">
      <c r="A22" s="1">
        <f>A21+1</f>
        <v>9</v>
      </c>
      <c r="B22" s="13" t="s">
        <v>225</v>
      </c>
      <c r="C22" s="14" t="s">
        <v>32</v>
      </c>
      <c r="D22" s="14">
        <v>2022</v>
      </c>
      <c r="E22" s="15" t="s">
        <v>30</v>
      </c>
      <c r="F22" s="16">
        <v>8689</v>
      </c>
      <c r="G22" s="17">
        <v>0</v>
      </c>
      <c r="H22" s="17">
        <v>0</v>
      </c>
      <c r="I22" s="17">
        <v>0</v>
      </c>
      <c r="J22" s="17">
        <v>0</v>
      </c>
      <c r="K22" s="17">
        <v>0</v>
      </c>
      <c r="L22" s="17">
        <v>30</v>
      </c>
      <c r="M22" s="17">
        <v>0</v>
      </c>
      <c r="N22" s="17">
        <v>0</v>
      </c>
      <c r="O22" s="17">
        <v>0</v>
      </c>
      <c r="P22" s="17">
        <v>0</v>
      </c>
      <c r="Q22" s="17">
        <v>0</v>
      </c>
      <c r="R22" s="17">
        <v>0</v>
      </c>
      <c r="S22" s="15">
        <f t="shared" si="2"/>
        <v>30</v>
      </c>
      <c r="T22" s="18">
        <f>+S22/30</f>
        <v>1</v>
      </c>
      <c r="U22" s="16">
        <f>ROUND(PRODUCT(F22*T22),0)</f>
        <v>8689</v>
      </c>
      <c r="V22" s="17">
        <f>U22*0.1</f>
        <v>868.90000000000009</v>
      </c>
      <c r="W22" s="17">
        <f>U22*0.0171</f>
        <v>148.58190000000002</v>
      </c>
      <c r="X22" s="17">
        <f>U22*0.03</f>
        <v>260.67</v>
      </c>
      <c r="Y22" s="19">
        <f>U22*0.02</f>
        <v>173.78</v>
      </c>
      <c r="Z22" s="17">
        <f>SUM(U22:Y22)</f>
        <v>10140.9319</v>
      </c>
      <c r="AA22" s="56">
        <v>0</v>
      </c>
      <c r="AB22" s="56"/>
    </row>
    <row r="23" spans="1:28" s="1" customFormat="1" ht="26.25" customHeight="1">
      <c r="A23" s="1">
        <f>A22+1</f>
        <v>10</v>
      </c>
      <c r="B23" s="159" t="s">
        <v>226</v>
      </c>
      <c r="C23" s="160" t="s">
        <v>207</v>
      </c>
      <c r="D23" s="160">
        <v>2022</v>
      </c>
      <c r="E23" s="161" t="s">
        <v>30</v>
      </c>
      <c r="F23" s="16">
        <v>8689</v>
      </c>
      <c r="G23" s="163">
        <v>0</v>
      </c>
      <c r="H23" s="163">
        <v>0</v>
      </c>
      <c r="I23" s="163">
        <v>0</v>
      </c>
      <c r="J23" s="163">
        <v>0</v>
      </c>
      <c r="K23" s="163">
        <v>0</v>
      </c>
      <c r="L23" s="163">
        <v>30</v>
      </c>
      <c r="M23" s="163">
        <v>0</v>
      </c>
      <c r="N23" s="163">
        <v>0</v>
      </c>
      <c r="O23" s="163">
        <v>0</v>
      </c>
      <c r="P23" s="163">
        <v>0</v>
      </c>
      <c r="Q23" s="163">
        <v>0</v>
      </c>
      <c r="R23" s="163">
        <v>0</v>
      </c>
      <c r="S23" s="161">
        <f t="shared" si="2"/>
        <v>30</v>
      </c>
      <c r="T23" s="164">
        <f>+S23/30</f>
        <v>1</v>
      </c>
      <c r="U23" s="162">
        <f>ROUND(PRODUCT(F23*T23),0)</f>
        <v>8689</v>
      </c>
      <c r="V23" s="163">
        <f>U23*0.1</f>
        <v>868.90000000000009</v>
      </c>
      <c r="W23" s="163">
        <f>U23*0.0171</f>
        <v>148.58190000000002</v>
      </c>
      <c r="X23" s="163">
        <f>U23*0.03</f>
        <v>260.67</v>
      </c>
      <c r="Y23" s="165">
        <f>U23*0.02</f>
        <v>173.78</v>
      </c>
      <c r="Z23" s="163">
        <f>SUM(U23:Y23)</f>
        <v>10140.9319</v>
      </c>
      <c r="AA23" s="56">
        <v>0</v>
      </c>
      <c r="AB23" s="56"/>
    </row>
    <row r="24" spans="1:28" s="1" customFormat="1" ht="25.5" customHeight="1">
      <c r="B24" s="143" t="s">
        <v>35</v>
      </c>
      <c r="C24" s="144"/>
      <c r="D24" s="144"/>
      <c r="E24" s="145"/>
      <c r="F24" s="146"/>
      <c r="G24" s="149"/>
      <c r="H24" s="146"/>
      <c r="I24" s="146"/>
      <c r="J24" s="146"/>
      <c r="K24" s="146"/>
      <c r="L24" s="146"/>
      <c r="M24" s="146"/>
      <c r="N24" s="146"/>
      <c r="O24" s="146"/>
      <c r="P24" s="146"/>
      <c r="Q24" s="146"/>
      <c r="R24" s="146"/>
      <c r="S24" s="145"/>
      <c r="T24" s="147"/>
      <c r="U24" s="148"/>
      <c r="V24" s="149"/>
      <c r="W24" s="149"/>
      <c r="X24" s="149"/>
      <c r="Y24" s="150"/>
      <c r="Z24" s="149"/>
      <c r="AA24" s="56"/>
      <c r="AB24" s="56">
        <f t="shared" si="0"/>
        <v>0</v>
      </c>
    </row>
    <row r="25" spans="1:28" s="1" customFormat="1" ht="26.25" customHeight="1">
      <c r="A25" s="1">
        <f>A23+1</f>
        <v>11</v>
      </c>
      <c r="B25" s="13" t="s">
        <v>227</v>
      </c>
      <c r="C25" s="14" t="s">
        <v>32</v>
      </c>
      <c r="D25" s="14">
        <v>2022</v>
      </c>
      <c r="E25" s="15" t="s">
        <v>30</v>
      </c>
      <c r="F25" s="16">
        <v>13738</v>
      </c>
      <c r="G25" s="17">
        <v>26</v>
      </c>
      <c r="H25" s="17">
        <v>30</v>
      </c>
      <c r="I25" s="17">
        <v>30</v>
      </c>
      <c r="J25" s="17">
        <v>30</v>
      </c>
      <c r="K25" s="17">
        <v>30</v>
      </c>
      <c r="L25" s="17">
        <v>30</v>
      </c>
      <c r="M25" s="17">
        <v>30</v>
      </c>
      <c r="N25" s="17">
        <v>30</v>
      </c>
      <c r="O25" s="17">
        <v>30</v>
      </c>
      <c r="P25" s="17">
        <v>30</v>
      </c>
      <c r="Q25" s="17">
        <v>30</v>
      </c>
      <c r="R25" s="17">
        <v>30</v>
      </c>
      <c r="S25" s="15">
        <f t="shared" si="2"/>
        <v>356</v>
      </c>
      <c r="T25" s="18">
        <f t="shared" si="1"/>
        <v>11.866666666666667</v>
      </c>
      <c r="U25" s="16">
        <f t="shared" ref="U25:U30" si="3">ROUND(PRODUCT(F25*T25),0)</f>
        <v>163024</v>
      </c>
      <c r="V25" s="17">
        <f t="shared" ref="V25:V30" si="4">U25*0.1</f>
        <v>16302.400000000001</v>
      </c>
      <c r="W25" s="17">
        <f t="shared" ref="W25:W30" si="5">U25*0.0171</f>
        <v>2787.7103999999999</v>
      </c>
      <c r="X25" s="17">
        <f t="shared" ref="X25:X30" si="6">U25*0.03</f>
        <v>4890.72</v>
      </c>
      <c r="Y25" s="19">
        <f t="shared" ref="Y25:Y30" si="7">U25*0.02</f>
        <v>3260.48</v>
      </c>
      <c r="Z25" s="17">
        <f t="shared" ref="Z25:Z30" si="8">SUM(U25:Y25)</f>
        <v>190265.31040000002</v>
      </c>
      <c r="AA25" s="56">
        <f t="shared" ref="AA25:AA30" si="9">+F25*S25/360</f>
        <v>13585.355555555556</v>
      </c>
      <c r="AB25" s="56">
        <f t="shared" si="0"/>
        <v>203850.66595555557</v>
      </c>
    </row>
    <row r="26" spans="1:28" s="1" customFormat="1" ht="29.25" customHeight="1">
      <c r="A26" s="1">
        <f>A25+1</f>
        <v>12</v>
      </c>
      <c r="B26" s="13" t="s">
        <v>36</v>
      </c>
      <c r="C26" s="14" t="s">
        <v>32</v>
      </c>
      <c r="D26" s="14">
        <v>2022</v>
      </c>
      <c r="E26" s="15" t="s">
        <v>30</v>
      </c>
      <c r="F26" s="16">
        <v>10173</v>
      </c>
      <c r="G26" s="17">
        <v>26</v>
      </c>
      <c r="H26" s="17">
        <v>30</v>
      </c>
      <c r="I26" s="17">
        <v>30</v>
      </c>
      <c r="J26" s="17">
        <v>30</v>
      </c>
      <c r="K26" s="17">
        <v>30</v>
      </c>
      <c r="L26" s="17">
        <v>30</v>
      </c>
      <c r="M26" s="17">
        <v>30</v>
      </c>
      <c r="N26" s="17">
        <v>30</v>
      </c>
      <c r="O26" s="17">
        <v>30</v>
      </c>
      <c r="P26" s="17">
        <v>30</v>
      </c>
      <c r="Q26" s="17">
        <v>30</v>
      </c>
      <c r="R26" s="17">
        <v>30</v>
      </c>
      <c r="S26" s="15">
        <f t="shared" si="2"/>
        <v>356</v>
      </c>
      <c r="T26" s="18">
        <f t="shared" si="1"/>
        <v>11.866666666666667</v>
      </c>
      <c r="U26" s="16">
        <f t="shared" si="3"/>
        <v>120720</v>
      </c>
      <c r="V26" s="17">
        <f t="shared" si="4"/>
        <v>12072</v>
      </c>
      <c r="W26" s="17">
        <f t="shared" si="5"/>
        <v>2064.3119999999999</v>
      </c>
      <c r="X26" s="17">
        <f t="shared" si="6"/>
        <v>3621.6</v>
      </c>
      <c r="Y26" s="19">
        <f t="shared" si="7"/>
        <v>2414.4</v>
      </c>
      <c r="Z26" s="17">
        <f t="shared" si="8"/>
        <v>140892.31200000001</v>
      </c>
      <c r="AA26" s="56">
        <f t="shared" si="9"/>
        <v>10059.966666666667</v>
      </c>
      <c r="AB26" s="56">
        <f t="shared" si="0"/>
        <v>150952.27866666668</v>
      </c>
    </row>
    <row r="27" spans="1:28" s="1" customFormat="1" ht="21" customHeight="1">
      <c r="A27" s="1">
        <f>A26+1</f>
        <v>13</v>
      </c>
      <c r="B27" s="13" t="s">
        <v>228</v>
      </c>
      <c r="C27" s="14" t="s">
        <v>32</v>
      </c>
      <c r="D27" s="14">
        <v>2022</v>
      </c>
      <c r="E27" s="15" t="s">
        <v>30</v>
      </c>
      <c r="F27" s="16">
        <v>5971</v>
      </c>
      <c r="G27" s="17">
        <v>26</v>
      </c>
      <c r="H27" s="17">
        <v>30</v>
      </c>
      <c r="I27" s="17">
        <v>30</v>
      </c>
      <c r="J27" s="30">
        <v>30</v>
      </c>
      <c r="K27" s="30">
        <v>30</v>
      </c>
      <c r="L27" s="30">
        <v>30</v>
      </c>
      <c r="M27" s="17">
        <v>30</v>
      </c>
      <c r="N27" s="17">
        <v>30</v>
      </c>
      <c r="O27" s="17">
        <v>30</v>
      </c>
      <c r="P27" s="17">
        <v>30</v>
      </c>
      <c r="Q27" s="17">
        <v>30</v>
      </c>
      <c r="R27" s="17">
        <v>30</v>
      </c>
      <c r="S27" s="15">
        <f t="shared" si="2"/>
        <v>356</v>
      </c>
      <c r="T27" s="18">
        <f t="shared" si="1"/>
        <v>11.866666666666667</v>
      </c>
      <c r="U27" s="16">
        <f t="shared" si="3"/>
        <v>70856</v>
      </c>
      <c r="V27" s="17">
        <f t="shared" si="4"/>
        <v>7085.6</v>
      </c>
      <c r="W27" s="17">
        <f t="shared" si="5"/>
        <v>1211.6376</v>
      </c>
      <c r="X27" s="17">
        <f t="shared" si="6"/>
        <v>2125.6799999999998</v>
      </c>
      <c r="Y27" s="19">
        <f t="shared" si="7"/>
        <v>1417.1200000000001</v>
      </c>
      <c r="Z27" s="17">
        <f t="shared" si="8"/>
        <v>82696.037599999996</v>
      </c>
      <c r="AA27" s="56">
        <f t="shared" si="9"/>
        <v>5904.6555555555551</v>
      </c>
      <c r="AB27" s="56">
        <f t="shared" si="0"/>
        <v>88600.693155555549</v>
      </c>
    </row>
    <row r="28" spans="1:28" s="1" customFormat="1">
      <c r="A28" s="1">
        <f>A27+1</f>
        <v>14</v>
      </c>
      <c r="B28" s="13" t="s">
        <v>201</v>
      </c>
      <c r="C28" s="14" t="s">
        <v>32</v>
      </c>
      <c r="D28" s="14">
        <v>2022</v>
      </c>
      <c r="E28" s="15" t="s">
        <v>30</v>
      </c>
      <c r="F28" s="16">
        <v>4009</v>
      </c>
      <c r="G28" s="17">
        <v>0</v>
      </c>
      <c r="H28" s="17">
        <v>0</v>
      </c>
      <c r="I28" s="17">
        <v>30</v>
      </c>
      <c r="J28" s="17">
        <v>30</v>
      </c>
      <c r="K28" s="17">
        <v>30</v>
      </c>
      <c r="L28" s="17">
        <v>30</v>
      </c>
      <c r="M28" s="17">
        <v>30</v>
      </c>
      <c r="N28" s="17">
        <v>30</v>
      </c>
      <c r="O28" s="17">
        <v>30</v>
      </c>
      <c r="P28" s="17">
        <v>30</v>
      </c>
      <c r="Q28" s="17">
        <v>30</v>
      </c>
      <c r="R28" s="17">
        <v>30</v>
      </c>
      <c r="S28" s="15">
        <f t="shared" si="2"/>
        <v>300</v>
      </c>
      <c r="T28" s="18">
        <f>+S28/30</f>
        <v>10</v>
      </c>
      <c r="U28" s="16">
        <f t="shared" si="3"/>
        <v>40090</v>
      </c>
      <c r="V28" s="17">
        <f>U28*0.1</f>
        <v>4009</v>
      </c>
      <c r="W28" s="17">
        <f>U28*0.0171</f>
        <v>685.53899999999999</v>
      </c>
      <c r="X28" s="17">
        <f>U28*0.03</f>
        <v>1202.7</v>
      </c>
      <c r="Y28" s="19">
        <f>U28*0.02</f>
        <v>801.80000000000007</v>
      </c>
      <c r="Z28" s="17">
        <f>SUM(U28:Y28)</f>
        <v>46789.038999999997</v>
      </c>
      <c r="AA28" s="56">
        <f t="shared" si="9"/>
        <v>3340.8333333333335</v>
      </c>
      <c r="AB28" s="56">
        <f>+AA28+Z28</f>
        <v>50129.872333333333</v>
      </c>
    </row>
    <row r="29" spans="1:28" s="1" customFormat="1" ht="23.25" customHeight="1">
      <c r="A29" s="1">
        <f>A28+1</f>
        <v>15</v>
      </c>
      <c r="B29" s="13" t="s">
        <v>232</v>
      </c>
      <c r="C29" s="14" t="s">
        <v>32</v>
      </c>
      <c r="D29" s="14">
        <v>2022</v>
      </c>
      <c r="E29" s="15" t="s">
        <v>30</v>
      </c>
      <c r="F29" s="16">
        <v>5494</v>
      </c>
      <c r="G29" s="17">
        <v>26</v>
      </c>
      <c r="H29" s="17">
        <v>30</v>
      </c>
      <c r="I29" s="17">
        <v>30</v>
      </c>
      <c r="J29" s="17">
        <v>30</v>
      </c>
      <c r="K29" s="17">
        <v>30</v>
      </c>
      <c r="L29" s="17">
        <v>30</v>
      </c>
      <c r="M29" s="17">
        <v>30</v>
      </c>
      <c r="N29" s="17">
        <v>30</v>
      </c>
      <c r="O29" s="17">
        <v>30</v>
      </c>
      <c r="P29" s="17">
        <v>30</v>
      </c>
      <c r="Q29" s="17">
        <v>30</v>
      </c>
      <c r="R29" s="17">
        <v>30</v>
      </c>
      <c r="S29" s="15">
        <f t="shared" si="2"/>
        <v>356</v>
      </c>
      <c r="T29" s="18">
        <f t="shared" si="1"/>
        <v>11.866666666666667</v>
      </c>
      <c r="U29" s="16">
        <f t="shared" si="3"/>
        <v>65195</v>
      </c>
      <c r="V29" s="17">
        <f t="shared" si="4"/>
        <v>6519.5</v>
      </c>
      <c r="W29" s="17">
        <f t="shared" si="5"/>
        <v>1114.8344999999999</v>
      </c>
      <c r="X29" s="17">
        <f t="shared" si="6"/>
        <v>1955.85</v>
      </c>
      <c r="Y29" s="19">
        <f t="shared" si="7"/>
        <v>1303.9000000000001</v>
      </c>
      <c r="Z29" s="17">
        <f t="shared" si="8"/>
        <v>76089.084499999997</v>
      </c>
      <c r="AA29" s="56">
        <f t="shared" si="9"/>
        <v>5432.9555555555553</v>
      </c>
      <c r="AB29" s="56">
        <f t="shared" si="0"/>
        <v>81522.040055555553</v>
      </c>
    </row>
    <row r="30" spans="1:28" s="1" customFormat="1" ht="23.25" customHeight="1">
      <c r="A30" s="1">
        <f>A29+1</f>
        <v>16</v>
      </c>
      <c r="B30" s="13" t="s">
        <v>233</v>
      </c>
      <c r="C30" s="14" t="s">
        <v>32</v>
      </c>
      <c r="D30" s="14">
        <v>2022</v>
      </c>
      <c r="E30" s="15" t="s">
        <v>30</v>
      </c>
      <c r="F30" s="16">
        <v>4827</v>
      </c>
      <c r="G30" s="17">
        <v>0</v>
      </c>
      <c r="H30" s="17">
        <v>0</v>
      </c>
      <c r="I30" s="17">
        <v>0</v>
      </c>
      <c r="J30" s="17">
        <v>30</v>
      </c>
      <c r="K30" s="17">
        <v>30</v>
      </c>
      <c r="L30" s="17">
        <v>30</v>
      </c>
      <c r="M30" s="17">
        <v>30</v>
      </c>
      <c r="N30" s="17">
        <v>30</v>
      </c>
      <c r="O30" s="17">
        <v>30</v>
      </c>
      <c r="P30" s="17">
        <v>30</v>
      </c>
      <c r="Q30" s="17">
        <v>30</v>
      </c>
      <c r="R30" s="17">
        <v>30</v>
      </c>
      <c r="S30" s="15">
        <f t="shared" si="2"/>
        <v>270</v>
      </c>
      <c r="T30" s="18">
        <f t="shared" si="1"/>
        <v>9</v>
      </c>
      <c r="U30" s="16">
        <f t="shared" si="3"/>
        <v>43443</v>
      </c>
      <c r="V30" s="17">
        <f t="shared" si="4"/>
        <v>4344.3</v>
      </c>
      <c r="W30" s="17">
        <f t="shared" si="5"/>
        <v>742.87530000000004</v>
      </c>
      <c r="X30" s="17">
        <f t="shared" si="6"/>
        <v>1303.29</v>
      </c>
      <c r="Y30" s="19">
        <f t="shared" si="7"/>
        <v>868.86</v>
      </c>
      <c r="Z30" s="17">
        <f t="shared" si="8"/>
        <v>50702.325300000004</v>
      </c>
      <c r="AA30" s="56">
        <f t="shared" si="9"/>
        <v>3620.25</v>
      </c>
      <c r="AB30" s="56">
        <f t="shared" si="0"/>
        <v>54322.575300000004</v>
      </c>
    </row>
    <row r="31" spans="1:28" s="1" customFormat="1" ht="28.5" customHeight="1">
      <c r="B31" s="143" t="s">
        <v>38</v>
      </c>
      <c r="C31" s="153"/>
      <c r="D31" s="154"/>
      <c r="E31" s="154"/>
      <c r="F31" s="154"/>
      <c r="G31" s="154"/>
      <c r="H31" s="154"/>
      <c r="I31" s="154"/>
      <c r="J31" s="154"/>
      <c r="K31" s="154"/>
      <c r="L31" s="154"/>
      <c r="M31" s="154"/>
      <c r="N31" s="154"/>
      <c r="O31" s="154"/>
      <c r="P31" s="154"/>
      <c r="Q31" s="154"/>
      <c r="R31" s="154"/>
      <c r="S31" s="154"/>
      <c r="T31" s="154"/>
      <c r="U31" s="146"/>
      <c r="V31" s="154"/>
      <c r="W31" s="154"/>
      <c r="X31" s="154"/>
      <c r="Y31" s="154"/>
      <c r="Z31" s="149"/>
      <c r="AA31" s="56"/>
      <c r="AB31" s="56">
        <f>+AA31+Z31</f>
        <v>0</v>
      </c>
    </row>
    <row r="32" spans="1:28" s="1" customFormat="1" ht="33.75" customHeight="1">
      <c r="A32" s="1">
        <f>A30+1</f>
        <v>17</v>
      </c>
      <c r="B32" s="13" t="s">
        <v>229</v>
      </c>
      <c r="C32" s="14" t="s">
        <v>32</v>
      </c>
      <c r="D32" s="14">
        <v>2022</v>
      </c>
      <c r="E32" s="15" t="s">
        <v>30</v>
      </c>
      <c r="F32" s="16">
        <v>13738</v>
      </c>
      <c r="G32" s="17">
        <v>20</v>
      </c>
      <c r="H32" s="17">
        <v>30</v>
      </c>
      <c r="I32" s="17">
        <v>30</v>
      </c>
      <c r="J32" s="17">
        <v>30</v>
      </c>
      <c r="K32" s="17">
        <v>30</v>
      </c>
      <c r="L32" s="17">
        <v>30</v>
      </c>
      <c r="M32" s="17">
        <v>30</v>
      </c>
      <c r="N32" s="17">
        <v>30</v>
      </c>
      <c r="O32" s="17">
        <v>30</v>
      </c>
      <c r="P32" s="17">
        <v>30</v>
      </c>
      <c r="Q32" s="17">
        <v>30</v>
      </c>
      <c r="R32" s="17">
        <v>30</v>
      </c>
      <c r="S32" s="15">
        <f t="shared" si="2"/>
        <v>350</v>
      </c>
      <c r="T32" s="18">
        <f>+S32/30</f>
        <v>11.666666666666666</v>
      </c>
      <c r="U32" s="16">
        <f>ROUND(PRODUCT(F32*T32),0)</f>
        <v>160277</v>
      </c>
      <c r="V32" s="17">
        <f>U32*0.1</f>
        <v>16027.7</v>
      </c>
      <c r="W32" s="17">
        <f>U32*0.0171</f>
        <v>2740.7366999999999</v>
      </c>
      <c r="X32" s="17">
        <f>U32*0.03</f>
        <v>4808.3099999999995</v>
      </c>
      <c r="Y32" s="19">
        <f>U32*0.02</f>
        <v>3205.54</v>
      </c>
      <c r="Z32" s="17">
        <f>SUM(U32:Y32)</f>
        <v>187059.28670000003</v>
      </c>
      <c r="AA32" s="56">
        <f>+F32*S32/360</f>
        <v>13356.388888888889</v>
      </c>
      <c r="AB32" s="56">
        <f>+AA32+Z32</f>
        <v>200415.6755888889</v>
      </c>
    </row>
    <row r="33" spans="1:32" s="1" customFormat="1" ht="29.25" customHeight="1">
      <c r="A33" s="1">
        <f>A32+1</f>
        <v>18</v>
      </c>
      <c r="B33" s="159" t="s">
        <v>234</v>
      </c>
      <c r="C33" s="160" t="s">
        <v>207</v>
      </c>
      <c r="D33" s="160">
        <v>2022</v>
      </c>
      <c r="E33" s="161" t="s">
        <v>30</v>
      </c>
      <c r="F33" s="162">
        <v>9282</v>
      </c>
      <c r="G33" s="163">
        <v>0</v>
      </c>
      <c r="H33" s="163">
        <v>0</v>
      </c>
      <c r="I33" s="163">
        <v>0</v>
      </c>
      <c r="J33" s="163">
        <v>0</v>
      </c>
      <c r="K33" s="163">
        <v>0</v>
      </c>
      <c r="L33" s="163">
        <v>0</v>
      </c>
      <c r="M33" s="163">
        <v>0</v>
      </c>
      <c r="N33" s="163">
        <v>0</v>
      </c>
      <c r="O33" s="163">
        <v>0</v>
      </c>
      <c r="P33" s="163">
        <v>30</v>
      </c>
      <c r="Q33" s="163">
        <v>0</v>
      </c>
      <c r="R33" s="163">
        <v>0</v>
      </c>
      <c r="S33" s="161">
        <f t="shared" si="2"/>
        <v>30</v>
      </c>
      <c r="T33" s="164">
        <f>+S33/30</f>
        <v>1</v>
      </c>
      <c r="U33" s="162">
        <f>ROUND(PRODUCT(F33*T33),0)</f>
        <v>9282</v>
      </c>
      <c r="V33" s="163">
        <f>U33*0.1</f>
        <v>928.2</v>
      </c>
      <c r="W33" s="163">
        <f>U33*0.0171</f>
        <v>158.72220000000002</v>
      </c>
      <c r="X33" s="163">
        <f>U33*0.03</f>
        <v>278.45999999999998</v>
      </c>
      <c r="Y33" s="165">
        <f>U33*0.02</f>
        <v>185.64000000000001</v>
      </c>
      <c r="Z33" s="163">
        <f>SUM(U33:Y33)</f>
        <v>10833.022199999999</v>
      </c>
      <c r="AA33" s="56">
        <v>0</v>
      </c>
      <c r="AB33" s="56">
        <f>+AA33+Z33</f>
        <v>10833.022199999999</v>
      </c>
      <c r="AF33" s="1">
        <v>20</v>
      </c>
    </row>
    <row r="34" spans="1:32" s="1" customFormat="1" ht="29.25" customHeight="1">
      <c r="A34" s="1">
        <f>A33+1</f>
        <v>19</v>
      </c>
      <c r="B34" s="159" t="s">
        <v>235</v>
      </c>
      <c r="C34" s="160" t="s">
        <v>207</v>
      </c>
      <c r="D34" s="160">
        <v>2022</v>
      </c>
      <c r="E34" s="161" t="s">
        <v>30</v>
      </c>
      <c r="F34" s="162">
        <v>9282</v>
      </c>
      <c r="G34" s="163">
        <v>30</v>
      </c>
      <c r="H34" s="163">
        <v>30</v>
      </c>
      <c r="I34" s="163">
        <v>30</v>
      </c>
      <c r="J34" s="163">
        <v>0</v>
      </c>
      <c r="K34" s="163">
        <v>0</v>
      </c>
      <c r="L34" s="163">
        <v>0</v>
      </c>
      <c r="M34" s="163">
        <v>0</v>
      </c>
      <c r="N34" s="163">
        <v>0</v>
      </c>
      <c r="O34" s="163">
        <v>0</v>
      </c>
      <c r="P34" s="163">
        <v>0</v>
      </c>
      <c r="Q34" s="163">
        <v>0</v>
      </c>
      <c r="R34" s="163">
        <v>0</v>
      </c>
      <c r="S34" s="161">
        <f t="shared" si="2"/>
        <v>90</v>
      </c>
      <c r="T34" s="164">
        <f>+S34/30</f>
        <v>3</v>
      </c>
      <c r="U34" s="162">
        <f>ROUND(PRODUCT(F34*T34),0)</f>
        <v>27846</v>
      </c>
      <c r="V34" s="163">
        <f>U34*0.1</f>
        <v>2784.6000000000004</v>
      </c>
      <c r="W34" s="163">
        <f>U34*0.0171</f>
        <v>476.16660000000002</v>
      </c>
      <c r="X34" s="163">
        <f>U34*0.03</f>
        <v>835.38</v>
      </c>
      <c r="Y34" s="165">
        <f>U34*0.02</f>
        <v>556.91999999999996</v>
      </c>
      <c r="Z34" s="163">
        <f>SUM(U34:Y34)</f>
        <v>32499.066599999998</v>
      </c>
      <c r="AA34" s="56">
        <v>0</v>
      </c>
      <c r="AB34" s="56"/>
    </row>
    <row r="35" spans="1:32" s="1" customFormat="1" ht="26.25" customHeight="1">
      <c r="A35" s="1">
        <f>A34+1</f>
        <v>20</v>
      </c>
      <c r="B35" s="13" t="s">
        <v>236</v>
      </c>
      <c r="C35" s="14" t="s">
        <v>32</v>
      </c>
      <c r="D35" s="14">
        <v>2022</v>
      </c>
      <c r="E35" s="15" t="s">
        <v>30</v>
      </c>
      <c r="F35" s="16">
        <v>4529</v>
      </c>
      <c r="G35" s="17">
        <v>30</v>
      </c>
      <c r="H35" s="17">
        <v>30</v>
      </c>
      <c r="I35" s="17">
        <v>30</v>
      </c>
      <c r="J35" s="17">
        <v>30</v>
      </c>
      <c r="K35" s="17">
        <v>30</v>
      </c>
      <c r="L35" s="17">
        <v>30</v>
      </c>
      <c r="M35" s="17">
        <v>30</v>
      </c>
      <c r="N35" s="17">
        <v>30</v>
      </c>
      <c r="O35" s="17">
        <v>30</v>
      </c>
      <c r="P35" s="17">
        <v>30</v>
      </c>
      <c r="Q35" s="17">
        <v>30</v>
      </c>
      <c r="R35" s="17">
        <v>30</v>
      </c>
      <c r="S35" s="15">
        <f t="shared" si="2"/>
        <v>360</v>
      </c>
      <c r="T35" s="18">
        <f>+S35/30</f>
        <v>12</v>
      </c>
      <c r="U35" s="16">
        <f>ROUND(PRODUCT(F35*T35),0)</f>
        <v>54348</v>
      </c>
      <c r="V35" s="17">
        <f>U35*0.1</f>
        <v>5434.8</v>
      </c>
      <c r="W35" s="17">
        <f>U35*0.0171</f>
        <v>929.35080000000005</v>
      </c>
      <c r="X35" s="17">
        <f>U35*0.03</f>
        <v>1630.4399999999998</v>
      </c>
      <c r="Y35" s="19">
        <f>U35*0.02</f>
        <v>1086.96</v>
      </c>
      <c r="Z35" s="17">
        <f>SUM(U35:Y35)</f>
        <v>63429.550800000005</v>
      </c>
      <c r="AA35" s="56">
        <f>+F35*S35/360</f>
        <v>4529</v>
      </c>
      <c r="AB35" s="56">
        <f>+AA35+Z35</f>
        <v>67958.550799999997</v>
      </c>
      <c r="AF35" s="1">
        <v>30</v>
      </c>
    </row>
    <row r="36" spans="1:32" s="1" customFormat="1" ht="26.25" customHeight="1">
      <c r="B36" s="139" t="s">
        <v>39</v>
      </c>
      <c r="C36" s="144"/>
      <c r="D36" s="144"/>
      <c r="E36" s="145"/>
      <c r="F36" s="146"/>
      <c r="G36" s="146"/>
      <c r="H36" s="146"/>
      <c r="I36" s="146"/>
      <c r="J36" s="146"/>
      <c r="K36" s="146"/>
      <c r="L36" s="146"/>
      <c r="M36" s="146"/>
      <c r="N36" s="146"/>
      <c r="O36" s="146"/>
      <c r="P36" s="146"/>
      <c r="Q36" s="146"/>
      <c r="R36" s="146"/>
      <c r="S36" s="145"/>
      <c r="T36" s="145"/>
      <c r="U36" s="146"/>
      <c r="V36" s="149"/>
      <c r="W36" s="149"/>
      <c r="X36" s="149"/>
      <c r="Y36" s="150"/>
      <c r="Z36" s="149"/>
      <c r="AA36" s="56"/>
      <c r="AB36" s="56">
        <f>+AA36+Z36</f>
        <v>0</v>
      </c>
      <c r="AF36" s="1">
        <v>30</v>
      </c>
    </row>
    <row r="37" spans="1:32" s="1" customFormat="1" ht="29.25" customHeight="1">
      <c r="A37" s="1">
        <f>A35+1</f>
        <v>21</v>
      </c>
      <c r="B37" s="13" t="s">
        <v>230</v>
      </c>
      <c r="C37" s="14" t="s">
        <v>32</v>
      </c>
      <c r="D37" s="14">
        <v>2022</v>
      </c>
      <c r="E37" s="15" t="s">
        <v>30</v>
      </c>
      <c r="F37" s="16">
        <v>13738</v>
      </c>
      <c r="G37" s="17">
        <v>25</v>
      </c>
      <c r="H37" s="17">
        <v>30</v>
      </c>
      <c r="I37" s="17">
        <v>30</v>
      </c>
      <c r="J37" s="17">
        <v>30</v>
      </c>
      <c r="K37" s="17">
        <v>30</v>
      </c>
      <c r="L37" s="17">
        <v>30</v>
      </c>
      <c r="M37" s="17">
        <v>30</v>
      </c>
      <c r="N37" s="17">
        <v>30</v>
      </c>
      <c r="O37" s="17">
        <v>30</v>
      </c>
      <c r="P37" s="17">
        <v>30</v>
      </c>
      <c r="Q37" s="17">
        <v>30</v>
      </c>
      <c r="R37" s="17">
        <v>30</v>
      </c>
      <c r="S37" s="15">
        <f t="shared" si="2"/>
        <v>355</v>
      </c>
      <c r="T37" s="18">
        <f>+S37/30</f>
        <v>11.833333333333334</v>
      </c>
      <c r="U37" s="16">
        <f>ROUND(PRODUCT(F37*T37),0)</f>
        <v>162566</v>
      </c>
      <c r="V37" s="17">
        <f>U37*0.1</f>
        <v>16256.6</v>
      </c>
      <c r="W37" s="17">
        <f>U37*0.0171</f>
        <v>2779.8786</v>
      </c>
      <c r="X37" s="17">
        <f>U37*0.03</f>
        <v>4876.9799999999996</v>
      </c>
      <c r="Y37" s="19">
        <f>U37*0.02</f>
        <v>3251.32</v>
      </c>
      <c r="Z37" s="17">
        <f>SUM(U37:Y37)</f>
        <v>189730.77860000002</v>
      </c>
      <c r="AA37" s="56">
        <f>+F37*S37/360</f>
        <v>13547.194444444445</v>
      </c>
      <c r="AB37" s="56">
        <f>+AA37+Z37</f>
        <v>203277.97304444446</v>
      </c>
      <c r="AF37" s="1">
        <v>10</v>
      </c>
    </row>
    <row r="38" spans="1:32" s="1" customFormat="1" ht="23.25" customHeight="1">
      <c r="A38" s="1">
        <f>A37+1</f>
        <v>22</v>
      </c>
      <c r="B38" s="13" t="s">
        <v>237</v>
      </c>
      <c r="C38" s="14" t="s">
        <v>32</v>
      </c>
      <c r="D38" s="14">
        <v>2022</v>
      </c>
      <c r="E38" s="15" t="s">
        <v>30</v>
      </c>
      <c r="F38" s="16">
        <v>9282</v>
      </c>
      <c r="G38" s="17">
        <v>0</v>
      </c>
      <c r="H38" s="17">
        <v>0</v>
      </c>
      <c r="I38" s="17">
        <v>30</v>
      </c>
      <c r="J38" s="17">
        <v>30</v>
      </c>
      <c r="K38" s="17">
        <v>30</v>
      </c>
      <c r="L38" s="17">
        <v>30</v>
      </c>
      <c r="M38" s="17">
        <v>0</v>
      </c>
      <c r="N38" s="17">
        <v>0</v>
      </c>
      <c r="O38" s="17">
        <v>0</v>
      </c>
      <c r="P38" s="17">
        <v>0</v>
      </c>
      <c r="Q38" s="17">
        <v>0</v>
      </c>
      <c r="R38" s="17">
        <v>0</v>
      </c>
      <c r="S38" s="15">
        <f t="shared" si="2"/>
        <v>120</v>
      </c>
      <c r="T38" s="18">
        <f>+S38/30</f>
        <v>4</v>
      </c>
      <c r="U38" s="16">
        <f>ROUND(PRODUCT(F38*T38),0)</f>
        <v>37128</v>
      </c>
      <c r="V38" s="17">
        <f>U38*0.1</f>
        <v>3712.8</v>
      </c>
      <c r="W38" s="17">
        <f>U38*0.0171</f>
        <v>634.88880000000006</v>
      </c>
      <c r="X38" s="17">
        <f>U38*0.03</f>
        <v>1113.8399999999999</v>
      </c>
      <c r="Y38" s="19">
        <f>U38*0.02</f>
        <v>742.56000000000006</v>
      </c>
      <c r="Z38" s="17">
        <f>SUM(U38:Y38)</f>
        <v>43332.088799999998</v>
      </c>
      <c r="AA38" s="56">
        <f>+F38*S38/360</f>
        <v>3094</v>
      </c>
      <c r="AB38" s="56">
        <f>+AA38+Z38</f>
        <v>46426.088799999998</v>
      </c>
      <c r="AF38" s="1">
        <f>SUM(AF33:AF37)</f>
        <v>90</v>
      </c>
    </row>
    <row r="39" spans="1:32" s="1" customFormat="1" ht="23.25" customHeight="1">
      <c r="A39" s="1">
        <f>A38+1</f>
        <v>23</v>
      </c>
      <c r="B39" s="159" t="s">
        <v>238</v>
      </c>
      <c r="C39" s="160" t="s">
        <v>207</v>
      </c>
      <c r="D39" s="160">
        <v>2022</v>
      </c>
      <c r="E39" s="161" t="s">
        <v>30</v>
      </c>
      <c r="F39" s="162">
        <v>9282</v>
      </c>
      <c r="G39" s="163">
        <v>0</v>
      </c>
      <c r="H39" s="163">
        <v>0</v>
      </c>
      <c r="I39" s="163">
        <v>30</v>
      </c>
      <c r="J39" s="163">
        <v>30</v>
      </c>
      <c r="K39" s="163">
        <v>30</v>
      </c>
      <c r="L39" s="163">
        <v>30</v>
      </c>
      <c r="M39" s="163">
        <v>0</v>
      </c>
      <c r="N39" s="163">
        <v>0</v>
      </c>
      <c r="O39" s="163">
        <v>0</v>
      </c>
      <c r="P39" s="163">
        <v>0</v>
      </c>
      <c r="Q39" s="163">
        <v>0</v>
      </c>
      <c r="R39" s="163">
        <v>0</v>
      </c>
      <c r="S39" s="161">
        <f t="shared" si="2"/>
        <v>120</v>
      </c>
      <c r="T39" s="164">
        <f>+S39/30</f>
        <v>4</v>
      </c>
      <c r="U39" s="162">
        <f>ROUND(PRODUCT(F39*T39),0)</f>
        <v>37128</v>
      </c>
      <c r="V39" s="163">
        <f>U39*0.1</f>
        <v>3712.8</v>
      </c>
      <c r="W39" s="163">
        <f>U39*0.0171</f>
        <v>634.88880000000006</v>
      </c>
      <c r="X39" s="163">
        <f>U39*0.03</f>
        <v>1113.8399999999999</v>
      </c>
      <c r="Y39" s="165">
        <f>U39*0.02</f>
        <v>742.56000000000006</v>
      </c>
      <c r="Z39" s="163">
        <f>SUM(U39:Y39)</f>
        <v>43332.088799999998</v>
      </c>
      <c r="AA39" s="56">
        <f>+F39*S39/360</f>
        <v>3094</v>
      </c>
      <c r="AB39" s="56"/>
    </row>
    <row r="40" spans="1:32" s="1" customFormat="1" ht="28.5" customHeight="1">
      <c r="B40" s="139" t="s">
        <v>37</v>
      </c>
      <c r="C40" s="140"/>
      <c r="D40" s="140"/>
      <c r="E40" s="140"/>
      <c r="F40" s="155"/>
      <c r="G40" s="155"/>
      <c r="H40" s="155"/>
      <c r="I40" s="155"/>
      <c r="J40" s="155"/>
      <c r="K40" s="155"/>
      <c r="L40" s="155"/>
      <c r="M40" s="155"/>
      <c r="N40" s="155"/>
      <c r="O40" s="155"/>
      <c r="P40" s="155"/>
      <c r="Q40" s="155"/>
      <c r="R40" s="155"/>
      <c r="S40" s="140"/>
      <c r="T40" s="140"/>
      <c r="U40" s="148"/>
      <c r="V40" s="141"/>
      <c r="W40" s="141"/>
      <c r="X40" s="141"/>
      <c r="Y40" s="141"/>
      <c r="Z40" s="149"/>
      <c r="AA40" s="56"/>
      <c r="AB40" s="56">
        <f t="shared" si="0"/>
        <v>0</v>
      </c>
    </row>
    <row r="41" spans="1:32" s="1" customFormat="1" ht="20.399999999999999">
      <c r="A41" s="1">
        <f>A39+1</f>
        <v>24</v>
      </c>
      <c r="B41" s="25" t="s">
        <v>231</v>
      </c>
      <c r="C41" s="14" t="s">
        <v>32</v>
      </c>
      <c r="D41" s="14">
        <v>2022</v>
      </c>
      <c r="E41" s="15" t="s">
        <v>30</v>
      </c>
      <c r="F41" s="26">
        <v>13738</v>
      </c>
      <c r="G41" s="17">
        <v>26</v>
      </c>
      <c r="H41" s="17">
        <v>30</v>
      </c>
      <c r="I41" s="17">
        <v>30</v>
      </c>
      <c r="J41" s="17">
        <v>30</v>
      </c>
      <c r="K41" s="17">
        <v>30</v>
      </c>
      <c r="L41" s="17">
        <v>30</v>
      </c>
      <c r="M41" s="17">
        <v>30</v>
      </c>
      <c r="N41" s="17">
        <v>30</v>
      </c>
      <c r="O41" s="17">
        <v>30</v>
      </c>
      <c r="P41" s="17">
        <v>30</v>
      </c>
      <c r="Q41" s="17">
        <v>30</v>
      </c>
      <c r="R41" s="17">
        <v>30</v>
      </c>
      <c r="S41" s="15">
        <f t="shared" si="2"/>
        <v>356</v>
      </c>
      <c r="T41" s="18">
        <f>+S41/30</f>
        <v>11.866666666666667</v>
      </c>
      <c r="U41" s="16">
        <f>ROUND(PRODUCT(F41*T41),0)</f>
        <v>163024</v>
      </c>
      <c r="V41" s="17">
        <f>U41*0.1</f>
        <v>16302.400000000001</v>
      </c>
      <c r="W41" s="17">
        <f>U41*0.0171</f>
        <v>2787.7103999999999</v>
      </c>
      <c r="X41" s="17">
        <f>U41*0.03</f>
        <v>4890.72</v>
      </c>
      <c r="Y41" s="19">
        <f>U41*0.02</f>
        <v>3260.48</v>
      </c>
      <c r="Z41" s="17">
        <f>SUM(U41:Y41)</f>
        <v>190265.31040000002</v>
      </c>
      <c r="AA41" s="56">
        <f>+F41*S41/360</f>
        <v>13585.355555555556</v>
      </c>
      <c r="AB41" s="56">
        <f t="shared" si="0"/>
        <v>203850.66595555557</v>
      </c>
    </row>
    <row r="42" spans="1:32" s="1" customFormat="1" ht="29.25" customHeight="1">
      <c r="A42" s="1">
        <f>A41+1</f>
        <v>25</v>
      </c>
      <c r="B42" s="13" t="s">
        <v>239</v>
      </c>
      <c r="C42" s="14" t="s">
        <v>32</v>
      </c>
      <c r="D42" s="14">
        <v>2022</v>
      </c>
      <c r="E42" s="15" t="s">
        <v>30</v>
      </c>
      <c r="F42" s="16">
        <v>9282</v>
      </c>
      <c r="G42" s="17">
        <v>29</v>
      </c>
      <c r="H42" s="17">
        <v>30</v>
      </c>
      <c r="I42" s="17">
        <v>30</v>
      </c>
      <c r="J42" s="17">
        <v>30</v>
      </c>
      <c r="K42" s="17">
        <v>0</v>
      </c>
      <c r="L42" s="17">
        <v>0</v>
      </c>
      <c r="M42" s="17">
        <v>0</v>
      </c>
      <c r="N42" s="17">
        <v>0</v>
      </c>
      <c r="O42" s="17">
        <v>0</v>
      </c>
      <c r="P42" s="17">
        <v>30</v>
      </c>
      <c r="Q42" s="17">
        <v>30</v>
      </c>
      <c r="R42" s="17">
        <v>30</v>
      </c>
      <c r="S42" s="15">
        <f t="shared" si="2"/>
        <v>209</v>
      </c>
      <c r="T42" s="18">
        <f>+S42/30</f>
        <v>6.9666666666666668</v>
      </c>
      <c r="U42" s="16">
        <f>ROUND(PRODUCT(F42*T42),0)</f>
        <v>64665</v>
      </c>
      <c r="V42" s="17">
        <f>U42*0.1</f>
        <v>6466.5</v>
      </c>
      <c r="W42" s="17">
        <f>U42*0.0171</f>
        <v>1105.7715000000001</v>
      </c>
      <c r="X42" s="17">
        <f>U42*0.03</f>
        <v>1939.9499999999998</v>
      </c>
      <c r="Y42" s="19">
        <f>U42*0.02</f>
        <v>1293.3</v>
      </c>
      <c r="Z42" s="17">
        <f>SUM(U42:Y42)</f>
        <v>75470.521500000003</v>
      </c>
      <c r="AA42" s="56">
        <f>+F42*S42/360</f>
        <v>5388.7166666666662</v>
      </c>
      <c r="AB42" s="56">
        <f t="shared" si="0"/>
        <v>80859.238166666662</v>
      </c>
    </row>
    <row r="43" spans="1:32" s="1" customFormat="1" ht="24" customHeight="1">
      <c r="A43" s="1">
        <f>A42+1</f>
        <v>26</v>
      </c>
      <c r="B43" s="159" t="s">
        <v>240</v>
      </c>
      <c r="C43" s="160" t="s">
        <v>207</v>
      </c>
      <c r="D43" s="160">
        <v>2022</v>
      </c>
      <c r="E43" s="161" t="s">
        <v>30</v>
      </c>
      <c r="F43" s="162">
        <v>9282</v>
      </c>
      <c r="G43" s="163">
        <v>29</v>
      </c>
      <c r="H43" s="163">
        <v>30</v>
      </c>
      <c r="I43" s="163">
        <v>30</v>
      </c>
      <c r="J43" s="163">
        <v>30</v>
      </c>
      <c r="K43" s="163">
        <v>0</v>
      </c>
      <c r="L43" s="163">
        <v>0</v>
      </c>
      <c r="M43" s="163">
        <v>0</v>
      </c>
      <c r="N43" s="163">
        <v>0</v>
      </c>
      <c r="O43" s="163">
        <v>0</v>
      </c>
      <c r="P43" s="163">
        <v>30</v>
      </c>
      <c r="Q43" s="163">
        <v>30</v>
      </c>
      <c r="R43" s="163">
        <v>30</v>
      </c>
      <c r="S43" s="161">
        <f t="shared" si="2"/>
        <v>209</v>
      </c>
      <c r="T43" s="164">
        <f>+S43/30</f>
        <v>6.9666666666666668</v>
      </c>
      <c r="U43" s="162">
        <f>ROUND(PRODUCT(F43*T43),0)</f>
        <v>64665</v>
      </c>
      <c r="V43" s="163">
        <f>U43*0.1</f>
        <v>6466.5</v>
      </c>
      <c r="W43" s="163">
        <f>U43*0.0171</f>
        <v>1105.7715000000001</v>
      </c>
      <c r="X43" s="163">
        <f>U43*0.03</f>
        <v>1939.9499999999998</v>
      </c>
      <c r="Y43" s="165">
        <f>U43*0.02</f>
        <v>1293.3</v>
      </c>
      <c r="Z43" s="163">
        <f>SUM(U43:Y43)</f>
        <v>75470.521500000003</v>
      </c>
      <c r="AA43" s="56">
        <f>+F43*S43/360</f>
        <v>5388.7166666666662</v>
      </c>
      <c r="AB43" s="56">
        <f t="shared" si="0"/>
        <v>80859.238166666662</v>
      </c>
    </row>
    <row r="44" spans="1:32" s="1" customFormat="1">
      <c r="B44" s="4"/>
      <c r="C44" s="5"/>
      <c r="D44" s="5"/>
      <c r="E44" s="5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31"/>
      <c r="V44" s="6"/>
      <c r="W44" s="6"/>
      <c r="X44" s="6"/>
      <c r="Y44" s="6"/>
      <c r="Z44" s="12"/>
      <c r="AA44" s="56"/>
      <c r="AB44" s="56">
        <f t="shared" si="0"/>
        <v>0</v>
      </c>
    </row>
    <row r="45" spans="1:32" s="1" customFormat="1">
      <c r="B45" s="32" t="s">
        <v>40</v>
      </c>
      <c r="C45" s="33">
        <v>18</v>
      </c>
      <c r="D45" s="34"/>
      <c r="E45" s="35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7">
        <f>SUM(U12:U44)</f>
        <v>1848274</v>
      </c>
      <c r="V45" s="38">
        <f>SUM(V10:V44)</f>
        <v>208269.39999999997</v>
      </c>
      <c r="W45" s="38">
        <f>SUM(W10:W44)</f>
        <v>35614.067400000007</v>
      </c>
      <c r="X45" s="38">
        <f>SUM(X10:X44)</f>
        <v>62480.819999999978</v>
      </c>
      <c r="Y45" s="39">
        <f>SUM(Y10:Y44)</f>
        <v>41653.880000000005</v>
      </c>
      <c r="Z45" s="38">
        <f>SUM(Z12:Z44)</f>
        <v>2157120.5854000002</v>
      </c>
      <c r="AA45" s="56">
        <f>SUM(AA9:AA43)</f>
        <v>163611.50277777779</v>
      </c>
      <c r="AB45" s="57">
        <f>SUM(AB9:AB43)</f>
        <v>2430650.642911111</v>
      </c>
    </row>
    <row r="46" spans="1:32" s="1" customFormat="1">
      <c r="B46" s="32" t="s">
        <v>41</v>
      </c>
      <c r="C46" s="33">
        <v>18</v>
      </c>
      <c r="D46" s="34"/>
      <c r="E46" s="35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8">
        <f>SUM(U45:U45)</f>
        <v>1848274</v>
      </c>
      <c r="V46" s="40">
        <f>SUM(V45:V45)</f>
        <v>208269.39999999997</v>
      </c>
      <c r="W46" s="40">
        <f>SUM(W45:W45)</f>
        <v>35614.067400000007</v>
      </c>
      <c r="X46" s="40">
        <f>SUM(X45:X45)</f>
        <v>62480.819999999978</v>
      </c>
      <c r="Y46" s="41">
        <f>SUM(Y45:Y45)</f>
        <v>41653.880000000005</v>
      </c>
      <c r="Z46" s="42"/>
      <c r="AA46" s="56"/>
      <c r="AB46" s="56"/>
    </row>
    <row r="47" spans="1:32" s="127" customFormat="1">
      <c r="B47" s="122"/>
      <c r="C47" s="123"/>
      <c r="D47" s="123"/>
      <c r="E47" s="122"/>
      <c r="F47" s="124"/>
      <c r="G47" s="124"/>
      <c r="H47" s="124"/>
      <c r="I47" s="124"/>
      <c r="J47" s="124"/>
      <c r="K47" s="124"/>
      <c r="L47" s="124"/>
      <c r="M47" s="124"/>
      <c r="N47" s="124"/>
      <c r="O47" s="124"/>
      <c r="P47" s="124"/>
      <c r="Q47" s="124"/>
      <c r="R47" s="124"/>
      <c r="S47" s="124"/>
      <c r="T47" s="124"/>
      <c r="U47" s="125"/>
      <c r="V47" s="126"/>
      <c r="W47" s="126"/>
      <c r="X47" s="126"/>
      <c r="Y47" s="126"/>
      <c r="Z47" s="131"/>
      <c r="AA47" s="132"/>
      <c r="AB47" s="132"/>
    </row>
    <row r="48" spans="1:32" s="127" customFormat="1">
      <c r="B48" s="122"/>
      <c r="C48" s="123"/>
      <c r="D48" s="123"/>
      <c r="E48" s="122"/>
      <c r="F48" s="124"/>
      <c r="G48" s="124"/>
      <c r="H48" s="124"/>
      <c r="I48" s="124"/>
      <c r="J48" s="124"/>
      <c r="K48" s="124"/>
      <c r="L48" s="124"/>
      <c r="M48" s="124"/>
      <c r="N48" s="124"/>
      <c r="O48" s="124"/>
      <c r="P48" s="124"/>
      <c r="Q48" s="124"/>
      <c r="R48" s="124"/>
      <c r="S48" s="124"/>
      <c r="T48" s="124"/>
      <c r="U48" s="125"/>
      <c r="V48" s="126"/>
      <c r="W48" s="126"/>
      <c r="X48" s="126"/>
      <c r="Y48" s="126"/>
      <c r="Z48" s="131"/>
      <c r="AA48" s="132"/>
      <c r="AB48" s="132"/>
    </row>
    <row r="49" spans="2:28" s="127" customFormat="1">
      <c r="B49" s="122"/>
      <c r="C49" s="123"/>
      <c r="D49" s="123"/>
      <c r="E49" s="122"/>
      <c r="F49" s="124"/>
      <c r="G49" s="124"/>
      <c r="H49" s="124"/>
      <c r="I49" s="124"/>
      <c r="J49" s="124"/>
      <c r="K49" s="124"/>
      <c r="L49" s="124"/>
      <c r="M49" s="124"/>
      <c r="N49" s="124"/>
      <c r="O49" s="124"/>
      <c r="P49" s="124"/>
      <c r="Q49" s="124"/>
      <c r="R49" s="124"/>
      <c r="S49" s="124"/>
      <c r="T49" s="124"/>
      <c r="U49" s="125"/>
      <c r="V49" s="126"/>
      <c r="W49" s="126"/>
      <c r="X49" s="126"/>
      <c r="Y49" s="126"/>
      <c r="Z49" s="131"/>
      <c r="AA49" s="132"/>
      <c r="AB49" s="132"/>
    </row>
    <row r="50" spans="2:28" s="127" customFormat="1">
      <c r="B50" s="122"/>
      <c r="C50" s="123"/>
      <c r="D50" s="123"/>
      <c r="E50" s="122"/>
      <c r="F50" s="124"/>
      <c r="G50" s="124"/>
      <c r="H50" s="124"/>
      <c r="I50" s="124"/>
      <c r="J50" s="124"/>
      <c r="K50" s="124"/>
      <c r="L50" s="124"/>
      <c r="M50" s="124"/>
      <c r="N50" s="124"/>
      <c r="O50" s="124"/>
      <c r="P50" s="124"/>
      <c r="Q50" s="124"/>
      <c r="R50" s="124"/>
      <c r="S50" s="124"/>
      <c r="T50" s="124"/>
      <c r="U50" s="125"/>
      <c r="V50" s="126"/>
      <c r="W50" s="126"/>
      <c r="X50" s="126"/>
      <c r="Y50" s="126"/>
      <c r="Z50" s="131"/>
      <c r="AA50" s="132"/>
      <c r="AB50" s="132"/>
    </row>
    <row r="51" spans="2:28" s="1" customFormat="1">
      <c r="B51" s="4"/>
      <c r="C51" s="5"/>
      <c r="D51" s="5"/>
      <c r="E51" s="5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3"/>
      <c r="V51" s="6"/>
      <c r="W51" s="6"/>
      <c r="X51" s="6"/>
      <c r="Y51" s="6"/>
      <c r="Z51" s="44"/>
      <c r="AA51" s="56"/>
      <c r="AB51" s="56">
        <f>+Z56-AB45</f>
        <v>-502143.642911111</v>
      </c>
    </row>
    <row r="52" spans="2:28" s="1" customFormat="1" ht="14.1" customHeight="1">
      <c r="B52" s="45"/>
      <c r="C52" s="45"/>
      <c r="D52" s="133"/>
      <c r="E52" s="133"/>
      <c r="F52" s="133"/>
      <c r="G52" s="133"/>
      <c r="H52" s="133"/>
      <c r="I52" s="133"/>
      <c r="J52" s="133"/>
      <c r="K52" s="133"/>
      <c r="L52" s="133"/>
      <c r="M52" s="133"/>
      <c r="N52" s="133"/>
      <c r="O52" s="133"/>
      <c r="P52" s="133"/>
      <c r="Q52" s="133"/>
      <c r="R52" s="133"/>
      <c r="S52" s="45"/>
      <c r="T52" s="45"/>
      <c r="U52" s="46"/>
      <c r="V52" s="331" t="s">
        <v>42</v>
      </c>
      <c r="W52" s="331"/>
      <c r="X52" s="331"/>
      <c r="Y52" s="331"/>
      <c r="Z52" s="47">
        <f>F10</f>
        <v>19535</v>
      </c>
      <c r="AA52" s="56"/>
      <c r="AB52" s="56"/>
    </row>
    <row r="53" spans="2:28" s="1" customFormat="1">
      <c r="B53" s="45"/>
      <c r="C53" s="45"/>
      <c r="D53" s="133"/>
      <c r="E53" s="133"/>
      <c r="F53" s="133"/>
      <c r="G53" s="133"/>
      <c r="H53" s="133"/>
      <c r="I53" s="133"/>
      <c r="J53" s="133"/>
      <c r="K53" s="133"/>
      <c r="L53" s="133"/>
      <c r="M53" s="133"/>
      <c r="N53" s="133"/>
      <c r="O53" s="133"/>
      <c r="P53" s="133"/>
      <c r="Q53" s="133"/>
      <c r="R53" s="133"/>
      <c r="S53" s="336"/>
      <c r="T53" s="336"/>
      <c r="U53" s="45"/>
      <c r="V53" s="45"/>
      <c r="W53" s="45"/>
      <c r="X53" s="45"/>
      <c r="Y53" s="45"/>
      <c r="Z53" s="45"/>
      <c r="AA53" s="56"/>
      <c r="AB53" s="56"/>
    </row>
    <row r="54" spans="2:28" s="1" customFormat="1" ht="14.1" customHeight="1">
      <c r="B54" s="45"/>
      <c r="C54" s="45"/>
      <c r="D54" s="133"/>
      <c r="E54" s="133"/>
      <c r="F54" s="133"/>
      <c r="G54" s="133"/>
      <c r="H54" s="133"/>
      <c r="I54" s="133"/>
      <c r="J54" s="133"/>
      <c r="K54" s="133"/>
      <c r="L54" s="133"/>
      <c r="M54" s="133"/>
      <c r="N54" s="133"/>
      <c r="O54" s="133"/>
      <c r="P54" s="133"/>
      <c r="Q54" s="133"/>
      <c r="R54" s="133"/>
      <c r="S54" s="45"/>
      <c r="T54" s="45"/>
      <c r="U54" s="48"/>
      <c r="V54" s="331" t="s">
        <v>43</v>
      </c>
      <c r="W54" s="331"/>
      <c r="X54" s="331"/>
      <c r="Y54" s="331"/>
      <c r="Z54" s="49">
        <f>Z52+Z45</f>
        <v>2176655.5854000002</v>
      </c>
      <c r="AA54" s="56" t="s">
        <v>45</v>
      </c>
      <c r="AB54" s="56"/>
    </row>
    <row r="55" spans="2:28" s="1" customFormat="1">
      <c r="B55" s="45"/>
      <c r="C55" s="45"/>
      <c r="D55" s="133"/>
      <c r="E55" s="133"/>
      <c r="F55" s="133"/>
      <c r="G55" s="133"/>
      <c r="H55" s="133"/>
      <c r="I55" s="133"/>
      <c r="J55" s="133"/>
      <c r="K55" s="133"/>
      <c r="L55" s="133"/>
      <c r="M55" s="133"/>
      <c r="N55" s="133"/>
      <c r="O55" s="133"/>
      <c r="P55" s="133"/>
      <c r="Q55" s="133"/>
      <c r="R55" s="133"/>
      <c r="S55" s="45"/>
      <c r="T55" s="45"/>
      <c r="U55" s="50"/>
      <c r="V55" s="45"/>
      <c r="W55" s="45"/>
      <c r="X55" s="45"/>
      <c r="Y55" s="45"/>
      <c r="Z55" s="45"/>
      <c r="AA55" s="56"/>
      <c r="AB55" s="56"/>
    </row>
    <row r="56" spans="2:28" s="1" customFormat="1" ht="14.1" customHeight="1">
      <c r="B56" s="45"/>
      <c r="C56" s="45"/>
      <c r="D56" s="133"/>
      <c r="E56" s="133"/>
      <c r="F56" s="133"/>
      <c r="G56" s="133"/>
      <c r="H56" s="133"/>
      <c r="I56" s="133"/>
      <c r="J56" s="133"/>
      <c r="K56" s="133"/>
      <c r="L56" s="133"/>
      <c r="M56" s="133"/>
      <c r="N56" s="133"/>
      <c r="O56" s="133"/>
      <c r="P56" s="133"/>
      <c r="Q56" s="133"/>
      <c r="R56" s="133"/>
      <c r="S56" s="45"/>
      <c r="T56" s="45"/>
      <c r="U56" s="51"/>
      <c r="V56" s="331" t="s">
        <v>44</v>
      </c>
      <c r="W56" s="331"/>
      <c r="X56" s="331"/>
      <c r="Y56" s="331"/>
      <c r="Z56" s="52">
        <v>1928507</v>
      </c>
      <c r="AA56" s="56"/>
      <c r="AB56" s="56"/>
    </row>
    <row r="57" spans="2:28" s="1" customFormat="1" ht="14.1" customHeight="1">
      <c r="B57" s="45"/>
      <c r="C57" s="45"/>
      <c r="D57" s="133"/>
      <c r="E57" s="133"/>
      <c r="F57" s="133"/>
      <c r="G57" s="133"/>
      <c r="H57" s="133"/>
      <c r="I57" s="133"/>
      <c r="J57" s="133"/>
      <c r="K57" s="133"/>
      <c r="L57" s="133"/>
      <c r="M57" s="133"/>
      <c r="N57" s="133"/>
      <c r="O57" s="133"/>
      <c r="P57" s="133"/>
      <c r="Q57" s="133"/>
      <c r="R57" s="133"/>
      <c r="S57" s="45"/>
      <c r="T57" s="45"/>
      <c r="U57" s="51"/>
      <c r="V57" s="54"/>
      <c r="W57" s="54"/>
      <c r="X57" s="54"/>
      <c r="Y57" s="54"/>
      <c r="Z57" s="55"/>
      <c r="AA57" s="56"/>
      <c r="AB57" s="56"/>
    </row>
    <row r="58" spans="2:28">
      <c r="V58" s="59" t="s">
        <v>46</v>
      </c>
      <c r="W58" s="59"/>
      <c r="X58" s="59"/>
      <c r="Y58" s="59"/>
      <c r="Z58" s="134">
        <f>+U45</f>
        <v>1848274</v>
      </c>
    </row>
    <row r="59" spans="2:28">
      <c r="V59" t="s">
        <v>47</v>
      </c>
      <c r="Z59" s="53">
        <f>+U10</f>
        <v>234420</v>
      </c>
    </row>
    <row r="60" spans="2:28">
      <c r="V60" t="s">
        <v>48</v>
      </c>
      <c r="Z60" s="53">
        <f>+V45+W45+X45+Y45</f>
        <v>348018.16739999992</v>
      </c>
    </row>
    <row r="61" spans="2:28">
      <c r="V61" t="s">
        <v>49</v>
      </c>
      <c r="Z61" s="53">
        <f>+AA45</f>
        <v>163611.50277777779</v>
      </c>
    </row>
    <row r="62" spans="2:28" ht="14.7" thickBot="1"/>
    <row r="63" spans="2:28" ht="14.7" thickBot="1">
      <c r="Z63" s="58">
        <f>SUM(Z58:Z62)</f>
        <v>2594323.6701777773</v>
      </c>
    </row>
    <row r="65" spans="22:28">
      <c r="Z65" s="53">
        <f>+Z56-Z63</f>
        <v>-665816.6701777773</v>
      </c>
    </row>
    <row r="67" spans="22:28">
      <c r="X67" t="s">
        <v>188</v>
      </c>
      <c r="Y67" t="s">
        <v>189</v>
      </c>
    </row>
    <row r="68" spans="22:28">
      <c r="X68" s="156" t="s">
        <v>178</v>
      </c>
      <c r="Y68" s="156" t="s">
        <v>179</v>
      </c>
      <c r="Z68" s="156" t="s">
        <v>190</v>
      </c>
    </row>
    <row r="69" spans="22:28">
      <c r="V69" s="158" t="s">
        <v>180</v>
      </c>
      <c r="X69" s="157">
        <f>AA10</f>
        <v>19535</v>
      </c>
      <c r="Y69" s="157">
        <v>0</v>
      </c>
      <c r="Z69" s="157">
        <f>X69+Y69</f>
        <v>19535</v>
      </c>
    </row>
    <row r="70" spans="22:28">
      <c r="V70" s="158" t="s">
        <v>181</v>
      </c>
      <c r="X70" s="157">
        <v>0</v>
      </c>
      <c r="Y70" s="157">
        <v>0</v>
      </c>
      <c r="Z70" s="157">
        <f t="shared" ref="Z70:Z77" si="10">X70+Y70</f>
        <v>0</v>
      </c>
    </row>
    <row r="71" spans="22:28">
      <c r="V71" s="158" t="s">
        <v>182</v>
      </c>
      <c r="X71" s="157">
        <f>U10</f>
        <v>234420</v>
      </c>
      <c r="Y71" s="157">
        <v>0</v>
      </c>
      <c r="Z71" s="157">
        <f t="shared" si="10"/>
        <v>234420</v>
      </c>
    </row>
    <row r="72" spans="22:28">
      <c r="V72" s="158" t="s">
        <v>183</v>
      </c>
      <c r="X72" s="157">
        <v>0</v>
      </c>
      <c r="Y72" s="157">
        <f>U12+U14+U15+U17+U19+U20+U21+U22+U23+U25+U26+U27+U28+U29+U30+U32+U33+U34+U35+U37+U38+U39+U41+U42+U43</f>
        <v>1837286</v>
      </c>
      <c r="Z72" s="157">
        <f t="shared" si="10"/>
        <v>1837286</v>
      </c>
    </row>
    <row r="73" spans="22:28">
      <c r="V73" s="158" t="s">
        <v>184</v>
      </c>
      <c r="X73" s="157">
        <f>V10</f>
        <v>23442</v>
      </c>
      <c r="Y73" s="157">
        <f>V12+V14+V15+V17+V19+V20+V21+V22+V23+V25+V26+V27+V28+V29+V30+V32+V33+V34+V35+V37+V38+V39+V41+V42+V43</f>
        <v>183728.59999999998</v>
      </c>
      <c r="Z73" s="157">
        <f t="shared" si="10"/>
        <v>207170.59999999998</v>
      </c>
    </row>
    <row r="74" spans="22:28">
      <c r="V74" s="158" t="s">
        <v>185</v>
      </c>
      <c r="X74" s="157">
        <f>W10</f>
        <v>4008.5820000000003</v>
      </c>
      <c r="Y74" s="157">
        <f>W12+W14+W15+W17+W19+W20+W21+W22+W23+W25+W26+W27+W28+W29+W30+W32+W33+W34+W35+W37+W38+W39+W41+W42+W43</f>
        <v>31417.5906</v>
      </c>
      <c r="Z74" s="157">
        <f t="shared" si="10"/>
        <v>35426.172599999998</v>
      </c>
    </row>
    <row r="75" spans="22:28">
      <c r="V75" s="158" t="s">
        <v>186</v>
      </c>
      <c r="X75" s="157">
        <f>X10</f>
        <v>7032.5999999999995</v>
      </c>
      <c r="Y75" s="157">
        <f>X12+X14+X15+X17+X19+X20+X21+X22+X23+X25+X26+X27+X28+X29+X30+X32+X33+X34+X35+X37+X38+X39+X41+X42+X43</f>
        <v>55118.579999999987</v>
      </c>
      <c r="Z75" s="157">
        <f t="shared" si="10"/>
        <v>62151.179999999986</v>
      </c>
    </row>
    <row r="76" spans="22:28">
      <c r="V76" s="158" t="s">
        <v>187</v>
      </c>
      <c r="X76" s="157">
        <f>Y10</f>
        <v>4688.4000000000005</v>
      </c>
      <c r="Y76" s="157">
        <f>Y12+Y14+Y15+Y17+Y19+Y20+Y21+Y22+Y23+Y25+Y26+Y27+Y28+Y29+Y30+Y32+Y33+Y34+Y35+Y37+Y38+Y39+Y41+Y42+Y43</f>
        <v>36745.720000000008</v>
      </c>
      <c r="Z76" s="157">
        <f t="shared" si="10"/>
        <v>41434.12000000001</v>
      </c>
    </row>
    <row r="77" spans="22:28">
      <c r="V77" s="158" t="s">
        <v>191</v>
      </c>
      <c r="X77" s="157"/>
      <c r="Y77" s="157">
        <f>AA12+AA14+AA15+AA17+AA19+AA20+AA21+AA22+AA23+AA25+AA26+AA28+AA27+AA29+AA30+AA32+AA33+AA34+AA35+AA37+AA38+AA39+AA41+AA42+AA43</f>
        <v>144076.50277777779</v>
      </c>
      <c r="Z77" s="157">
        <f t="shared" si="10"/>
        <v>144076.50277777779</v>
      </c>
    </row>
    <row r="78" spans="22:28">
      <c r="X78" s="157">
        <f>SUM(X69:X77)</f>
        <v>293126.58199999999</v>
      </c>
      <c r="Y78" s="157">
        <f>SUM(Y69:Y77)</f>
        <v>2288372.9933777777</v>
      </c>
      <c r="Z78" s="157">
        <f>SUM(Z69:Z77)</f>
        <v>2581499.5753777782</v>
      </c>
      <c r="AA78" s="53">
        <v>1928507</v>
      </c>
      <c r="AB78" s="53">
        <f>Z78-AA78</f>
        <v>652992.57537777815</v>
      </c>
    </row>
    <row r="81" spans="1:32">
      <c r="X81" s="156"/>
      <c r="Y81" s="156"/>
      <c r="Z81" s="156"/>
    </row>
    <row r="82" spans="1:32" s="53" customFormat="1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 s="158"/>
      <c r="W82"/>
      <c r="X82" s="157"/>
      <c r="Y82" s="157"/>
      <c r="Z82" s="157"/>
      <c r="AC82"/>
      <c r="AD82"/>
      <c r="AE82"/>
      <c r="AF82"/>
    </row>
    <row r="83" spans="1:32" s="53" customFormat="1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 s="158"/>
      <c r="W83"/>
      <c r="X83" s="157"/>
      <c r="Y83" s="157"/>
      <c r="Z83" s="157"/>
      <c r="AC83"/>
      <c r="AD83"/>
      <c r="AE83"/>
      <c r="AF83"/>
    </row>
    <row r="84" spans="1:32" s="53" customFormat="1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 s="158"/>
      <c r="W84"/>
      <c r="X84" s="157"/>
      <c r="Y84" s="157"/>
      <c r="Z84" s="157"/>
      <c r="AC84"/>
      <c r="AD84"/>
      <c r="AE84"/>
      <c r="AF84"/>
    </row>
    <row r="85" spans="1:32" s="53" customFormat="1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 s="158"/>
      <c r="W85"/>
      <c r="X85" s="157"/>
      <c r="Y85" s="157"/>
      <c r="Z85" s="157"/>
      <c r="AC85"/>
      <c r="AD85"/>
      <c r="AE85"/>
      <c r="AF85"/>
    </row>
    <row r="86" spans="1:32" s="53" customFormat="1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 s="158"/>
      <c r="W86"/>
      <c r="X86" s="157"/>
      <c r="Y86" s="157"/>
      <c r="Z86" s="157"/>
      <c r="AC86"/>
      <c r="AD86"/>
      <c r="AE86"/>
      <c r="AF86"/>
    </row>
    <row r="87" spans="1:32" s="53" customFormat="1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 s="158"/>
      <c r="W87"/>
      <c r="X87" s="157"/>
      <c r="Y87" s="157"/>
      <c r="Z87" s="157"/>
      <c r="AC87"/>
      <c r="AD87"/>
      <c r="AE87"/>
      <c r="AF87"/>
    </row>
    <row r="88" spans="1:32" s="53" customFormat="1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 s="158"/>
      <c r="W88"/>
      <c r="X88" s="157"/>
      <c r="Y88" s="157"/>
      <c r="Z88" s="157"/>
      <c r="AC88"/>
      <c r="AD88"/>
      <c r="AE88"/>
      <c r="AF88"/>
    </row>
    <row r="89" spans="1:32" s="53" customFormat="1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 s="158"/>
      <c r="W89"/>
      <c r="X89" s="157"/>
      <c r="Y89" s="157"/>
      <c r="Z89" s="157"/>
      <c r="AC89"/>
      <c r="AD89"/>
      <c r="AE89"/>
      <c r="AF89"/>
    </row>
    <row r="90" spans="1:32" s="53" customFormat="1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 s="158"/>
      <c r="W90"/>
      <c r="X90" s="157"/>
      <c r="Y90" s="157"/>
      <c r="Z90" s="157"/>
      <c r="AC90"/>
      <c r="AD90"/>
      <c r="AE90"/>
      <c r="AF90"/>
    </row>
    <row r="91" spans="1:32" s="53" customFormat="1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 s="157"/>
      <c r="Y91" s="157"/>
      <c r="Z91" s="157"/>
      <c r="AC91"/>
      <c r="AD91"/>
      <c r="AE91"/>
      <c r="AF91"/>
    </row>
  </sheetData>
  <mergeCells count="18">
    <mergeCell ref="V54:Y54"/>
    <mergeCell ref="V56:Y56"/>
    <mergeCell ref="U5:U6"/>
    <mergeCell ref="V5:Y5"/>
    <mergeCell ref="Z5:Z6"/>
    <mergeCell ref="AA5:AA6"/>
    <mergeCell ref="V52:Y52"/>
    <mergeCell ref="S53:T53"/>
    <mergeCell ref="B2:Z2"/>
    <mergeCell ref="V4:Y4"/>
    <mergeCell ref="B5:B6"/>
    <mergeCell ref="C5:C6"/>
    <mergeCell ref="D5:D6"/>
    <mergeCell ref="E5:E6"/>
    <mergeCell ref="F5:F6"/>
    <mergeCell ref="G5:R5"/>
    <mergeCell ref="S5:S6"/>
    <mergeCell ref="T5:T6"/>
  </mergeCells>
  <pageMargins left="0.51181102362204722" right="0.11811023622047245" top="0.35433070866141736" bottom="0.55118110236220474" header="0.31496062992125984" footer="0.31496062992125984"/>
  <pageSetup scale="60" orientation="landscape" verticalDpi="0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F90"/>
  <sheetViews>
    <sheetView workbookViewId="0"/>
  </sheetViews>
  <sheetFormatPr baseColWidth="10" defaultRowHeight="14.4"/>
  <cols>
    <col min="1" max="1" width="4.89453125" customWidth="1"/>
    <col min="2" max="2" width="30.41796875" customWidth="1"/>
    <col min="3" max="3" width="5.41796875" customWidth="1"/>
    <col min="4" max="5" width="7.41796875" customWidth="1"/>
    <col min="6" max="6" width="9.5234375" customWidth="1"/>
    <col min="7" max="8" width="4.89453125" customWidth="1"/>
    <col min="9" max="18" width="4.5234375" customWidth="1"/>
    <col min="19" max="20" width="7.5234375" customWidth="1"/>
    <col min="21" max="21" width="14" customWidth="1"/>
    <col min="22" max="22" width="13.41796875" customWidth="1"/>
    <col min="23" max="23" width="11.5234375" customWidth="1"/>
    <col min="24" max="24" width="11.68359375" customWidth="1"/>
    <col min="25" max="25" width="12.41796875" customWidth="1"/>
    <col min="26" max="26" width="16" customWidth="1"/>
    <col min="27" max="27" width="17.3125" style="53" customWidth="1"/>
    <col min="28" max="28" width="15.5234375" style="53" customWidth="1"/>
  </cols>
  <sheetData>
    <row r="2" spans="1:28" s="1" customFormat="1" ht="51" customHeight="1">
      <c r="B2" s="337" t="s">
        <v>166</v>
      </c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337"/>
      <c r="P2" s="337"/>
      <c r="Q2" s="337"/>
      <c r="R2" s="337"/>
      <c r="S2" s="337"/>
      <c r="T2" s="337"/>
      <c r="U2" s="337"/>
      <c r="V2" s="337"/>
      <c r="W2" s="337"/>
      <c r="X2" s="337"/>
      <c r="Y2" s="337"/>
      <c r="Z2" s="337"/>
      <c r="AA2" s="56"/>
      <c r="AB2" s="56"/>
    </row>
    <row r="3" spans="1:28" s="1" customFormat="1">
      <c r="B3" s="2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AA3" s="56"/>
      <c r="AB3" s="56"/>
    </row>
    <row r="4" spans="1:28" s="1" customFormat="1">
      <c r="B4" s="4"/>
      <c r="C4" s="5"/>
      <c r="D4" s="5"/>
      <c r="E4" s="5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6"/>
      <c r="V4" s="338"/>
      <c r="W4" s="338"/>
      <c r="X4" s="338"/>
      <c r="Y4" s="338"/>
      <c r="AA4" s="56"/>
      <c r="AB4" s="56"/>
    </row>
    <row r="5" spans="1:28" s="1" customFormat="1" ht="13.35" customHeight="1">
      <c r="B5" s="332" t="s">
        <v>1</v>
      </c>
      <c r="C5" s="332" t="s">
        <v>2</v>
      </c>
      <c r="D5" s="339" t="s">
        <v>3</v>
      </c>
      <c r="E5" s="333" t="s">
        <v>4</v>
      </c>
      <c r="F5" s="332" t="s">
        <v>5</v>
      </c>
      <c r="G5" s="341" t="s">
        <v>6</v>
      </c>
      <c r="H5" s="342"/>
      <c r="I5" s="342"/>
      <c r="J5" s="342"/>
      <c r="K5" s="342"/>
      <c r="L5" s="342"/>
      <c r="M5" s="342"/>
      <c r="N5" s="342"/>
      <c r="O5" s="342"/>
      <c r="P5" s="342"/>
      <c r="Q5" s="342"/>
      <c r="R5" s="343"/>
      <c r="S5" s="332" t="s">
        <v>7</v>
      </c>
      <c r="T5" s="339" t="s">
        <v>8</v>
      </c>
      <c r="U5" s="332" t="s">
        <v>9</v>
      </c>
      <c r="V5" s="333" t="s">
        <v>10</v>
      </c>
      <c r="W5" s="333"/>
      <c r="X5" s="333"/>
      <c r="Y5" s="333"/>
      <c r="Z5" s="334" t="s">
        <v>50</v>
      </c>
      <c r="AA5" s="335" t="s">
        <v>51</v>
      </c>
      <c r="AB5" s="56"/>
    </row>
    <row r="6" spans="1:28" s="1" customFormat="1" ht="24.75" customHeight="1">
      <c r="B6" s="332"/>
      <c r="C6" s="332"/>
      <c r="D6" s="340"/>
      <c r="E6" s="333"/>
      <c r="F6" s="332"/>
      <c r="G6" s="135" t="s">
        <v>11</v>
      </c>
      <c r="H6" s="136" t="s">
        <v>12</v>
      </c>
      <c r="I6" s="136" t="s">
        <v>13</v>
      </c>
      <c r="J6" s="136" t="s">
        <v>14</v>
      </c>
      <c r="K6" s="136" t="s">
        <v>15</v>
      </c>
      <c r="L6" s="136" t="s">
        <v>16</v>
      </c>
      <c r="M6" s="136" t="s">
        <v>17</v>
      </c>
      <c r="N6" s="136" t="s">
        <v>18</v>
      </c>
      <c r="O6" s="136" t="s">
        <v>19</v>
      </c>
      <c r="P6" s="136" t="s">
        <v>20</v>
      </c>
      <c r="Q6" s="136" t="s">
        <v>21</v>
      </c>
      <c r="R6" s="136" t="s">
        <v>22</v>
      </c>
      <c r="S6" s="332"/>
      <c r="T6" s="340"/>
      <c r="U6" s="332"/>
      <c r="V6" s="137" t="s">
        <v>23</v>
      </c>
      <c r="W6" s="138" t="s">
        <v>24</v>
      </c>
      <c r="X6" s="138" t="s">
        <v>25</v>
      </c>
      <c r="Y6" s="138" t="s">
        <v>26</v>
      </c>
      <c r="Z6" s="334"/>
      <c r="AA6" s="335"/>
      <c r="AB6" s="56"/>
    </row>
    <row r="7" spans="1:28" s="1" customFormat="1">
      <c r="B7" s="4"/>
      <c r="C7" s="5"/>
      <c r="D7" s="5"/>
      <c r="E7" s="5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6"/>
      <c r="V7" s="6"/>
      <c r="W7" s="6"/>
      <c r="X7" s="6"/>
      <c r="Y7" s="6"/>
      <c r="Z7" s="8"/>
      <c r="AA7" s="56"/>
      <c r="AB7" s="56"/>
    </row>
    <row r="8" spans="1:28" s="1" customFormat="1">
      <c r="B8" s="139" t="s">
        <v>27</v>
      </c>
      <c r="C8" s="140"/>
      <c r="D8" s="140"/>
      <c r="E8" s="140"/>
      <c r="F8" s="141"/>
      <c r="G8" s="141"/>
      <c r="H8" s="141"/>
      <c r="I8" s="141"/>
      <c r="J8" s="141"/>
      <c r="K8" s="141"/>
      <c r="L8" s="141"/>
      <c r="M8" s="141"/>
      <c r="N8" s="141"/>
      <c r="O8" s="141"/>
      <c r="P8" s="141"/>
      <c r="Q8" s="141"/>
      <c r="R8" s="141"/>
      <c r="S8" s="141"/>
      <c r="T8" s="141"/>
      <c r="U8" s="141"/>
      <c r="V8" s="141"/>
      <c r="W8" s="141"/>
      <c r="X8" s="141"/>
      <c r="Y8" s="141"/>
      <c r="Z8" s="142"/>
      <c r="AA8" s="56"/>
      <c r="AB8" s="56"/>
    </row>
    <row r="9" spans="1:28" s="1" customFormat="1">
      <c r="B9" s="9"/>
      <c r="C9" s="10"/>
      <c r="D9" s="10"/>
      <c r="E9" s="10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2"/>
      <c r="AA9" s="56"/>
      <c r="AB9" s="56"/>
    </row>
    <row r="10" spans="1:28" s="1" customFormat="1">
      <c r="A10" s="1">
        <v>1</v>
      </c>
      <c r="B10" s="13" t="s">
        <v>28</v>
      </c>
      <c r="C10" s="14" t="s">
        <v>29</v>
      </c>
      <c r="D10" s="14">
        <v>2022</v>
      </c>
      <c r="E10" s="15" t="s">
        <v>30</v>
      </c>
      <c r="F10" s="16">
        <v>19535</v>
      </c>
      <c r="G10" s="17">
        <v>30</v>
      </c>
      <c r="H10" s="17">
        <v>30</v>
      </c>
      <c r="I10" s="17">
        <v>30</v>
      </c>
      <c r="J10" s="17">
        <v>30</v>
      </c>
      <c r="K10" s="17">
        <v>30</v>
      </c>
      <c r="L10" s="17">
        <v>30</v>
      </c>
      <c r="M10" s="17">
        <v>30</v>
      </c>
      <c r="N10" s="17">
        <v>30</v>
      </c>
      <c r="O10" s="17">
        <v>30</v>
      </c>
      <c r="P10" s="17">
        <v>30</v>
      </c>
      <c r="Q10" s="17">
        <v>30</v>
      </c>
      <c r="R10" s="17">
        <v>30</v>
      </c>
      <c r="S10" s="15">
        <f>SUM(G10:R10)</f>
        <v>360</v>
      </c>
      <c r="T10" s="18">
        <f>+S10/30</f>
        <v>12</v>
      </c>
      <c r="U10" s="16">
        <f>ROUND(PRODUCT(F10*T10),0)</f>
        <v>234420</v>
      </c>
      <c r="V10" s="16">
        <f>U10*0.1</f>
        <v>23442</v>
      </c>
      <c r="W10" s="16">
        <f>U10*0.0171</f>
        <v>4008.5820000000003</v>
      </c>
      <c r="X10" s="16">
        <f>U10*0.03</f>
        <v>7032.5999999999995</v>
      </c>
      <c r="Y10" s="19">
        <f>U10*0.02</f>
        <v>4688.4000000000005</v>
      </c>
      <c r="Z10" s="17">
        <f>SUM(U10:Y10)</f>
        <v>273591.58199999999</v>
      </c>
      <c r="AA10" s="56">
        <f>+F10*S10/360</f>
        <v>19535</v>
      </c>
      <c r="AB10" s="56">
        <f>+AA10+Z10</f>
        <v>293126.58199999999</v>
      </c>
    </row>
    <row r="11" spans="1:28" s="1" customFormat="1">
      <c r="B11" s="143" t="s">
        <v>31</v>
      </c>
      <c r="C11" s="144"/>
      <c r="D11" s="144"/>
      <c r="E11" s="145"/>
      <c r="F11" s="146"/>
      <c r="G11" s="146"/>
      <c r="H11" s="146"/>
      <c r="I11" s="146"/>
      <c r="J11" s="146"/>
      <c r="K11" s="146"/>
      <c r="L11" s="146"/>
      <c r="M11" s="146"/>
      <c r="N11" s="146"/>
      <c r="O11" s="146"/>
      <c r="P11" s="146"/>
      <c r="Q11" s="146"/>
      <c r="R11" s="146"/>
      <c r="S11" s="145"/>
      <c r="T11" s="147"/>
      <c r="U11" s="148"/>
      <c r="V11" s="149"/>
      <c r="W11" s="149"/>
      <c r="X11" s="149"/>
      <c r="Y11" s="150"/>
      <c r="Z11" s="149"/>
      <c r="AA11" s="56"/>
      <c r="AB11" s="56">
        <f t="shared" ref="AB11:AB43" si="0">+AA11+Z11</f>
        <v>0</v>
      </c>
    </row>
    <row r="12" spans="1:28" s="1" customFormat="1" ht="20.399999999999999">
      <c r="A12" s="1">
        <f>A10+1</f>
        <v>2</v>
      </c>
      <c r="B12" s="13" t="s">
        <v>209</v>
      </c>
      <c r="C12" s="14" t="s">
        <v>32</v>
      </c>
      <c r="D12" s="14">
        <v>2022</v>
      </c>
      <c r="E12" s="15" t="s">
        <v>30</v>
      </c>
      <c r="F12" s="16">
        <v>10693</v>
      </c>
      <c r="G12" s="17">
        <v>26</v>
      </c>
      <c r="H12" s="17">
        <v>30</v>
      </c>
      <c r="I12" s="17">
        <v>30</v>
      </c>
      <c r="J12" s="17">
        <v>30</v>
      </c>
      <c r="K12" s="17">
        <v>30</v>
      </c>
      <c r="L12" s="17">
        <v>30</v>
      </c>
      <c r="M12" s="17">
        <v>30</v>
      </c>
      <c r="N12" s="17">
        <v>30</v>
      </c>
      <c r="O12" s="17">
        <v>30</v>
      </c>
      <c r="P12" s="17">
        <v>30</v>
      </c>
      <c r="Q12" s="17">
        <v>30</v>
      </c>
      <c r="R12" s="17">
        <v>30</v>
      </c>
      <c r="S12" s="15">
        <f>SUM(G12:R12)</f>
        <v>356</v>
      </c>
      <c r="T12" s="18">
        <f t="shared" ref="T12:T29" si="1">+S12/30</f>
        <v>11.866666666666667</v>
      </c>
      <c r="U12" s="16">
        <f>ROUND(PRODUCT(F12*T12),0)</f>
        <v>126890</v>
      </c>
      <c r="V12" s="17">
        <f>U12*0.1</f>
        <v>12689</v>
      </c>
      <c r="W12" s="17">
        <f>U12*0.0171</f>
        <v>2169.819</v>
      </c>
      <c r="X12" s="17">
        <f>U12*0.03</f>
        <v>3806.7</v>
      </c>
      <c r="Y12" s="19">
        <f>U12*0.02</f>
        <v>2537.8000000000002</v>
      </c>
      <c r="Z12" s="17">
        <f>SUM(U12:Y12)</f>
        <v>148093.31899999999</v>
      </c>
      <c r="AA12" s="56">
        <f>+F12*S12/360</f>
        <v>10574.18888888889</v>
      </c>
      <c r="AB12" s="56">
        <f t="shared" si="0"/>
        <v>158667.50788888888</v>
      </c>
    </row>
    <row r="13" spans="1:28" s="1" customFormat="1" ht="30.75" customHeight="1">
      <c r="A13" s="1">
        <f>A12+1</f>
        <v>3</v>
      </c>
      <c r="B13" s="13" t="s">
        <v>193</v>
      </c>
      <c r="C13" s="14" t="s">
        <v>32</v>
      </c>
      <c r="D13" s="14">
        <v>2022</v>
      </c>
      <c r="E13" s="15" t="s">
        <v>30</v>
      </c>
      <c r="F13" s="16">
        <v>4529</v>
      </c>
      <c r="G13" s="17">
        <v>0</v>
      </c>
      <c r="H13" s="17">
        <v>30</v>
      </c>
      <c r="I13" s="17">
        <v>30</v>
      </c>
      <c r="J13" s="17">
        <v>30</v>
      </c>
      <c r="K13" s="17">
        <v>30</v>
      </c>
      <c r="L13" s="17">
        <v>30</v>
      </c>
      <c r="M13" s="17">
        <v>30</v>
      </c>
      <c r="N13" s="17">
        <v>30</v>
      </c>
      <c r="O13" s="17">
        <v>30</v>
      </c>
      <c r="P13" s="17">
        <v>30</v>
      </c>
      <c r="Q13" s="17">
        <v>30</v>
      </c>
      <c r="R13" s="17">
        <v>30</v>
      </c>
      <c r="S13" s="15">
        <f t="shared" ref="S13:S42" si="2">SUM(G13:R13)</f>
        <v>330</v>
      </c>
      <c r="T13" s="18">
        <f t="shared" si="1"/>
        <v>11</v>
      </c>
      <c r="U13" s="16">
        <f>ROUND(PRODUCT(F13*T13),0)</f>
        <v>49819</v>
      </c>
      <c r="V13" s="17">
        <f>U13*0.1</f>
        <v>4981.9000000000005</v>
      </c>
      <c r="W13" s="17">
        <f>U13*0.0171</f>
        <v>851.9049</v>
      </c>
      <c r="X13" s="17">
        <f>U13*0.03</f>
        <v>1494.57</v>
      </c>
      <c r="Y13" s="19">
        <f>U13*0.02</f>
        <v>996.38</v>
      </c>
      <c r="Z13" s="17">
        <f>SUM(U13:Y13)</f>
        <v>58143.7549</v>
      </c>
      <c r="AA13" s="56">
        <f>+F13*S13/360</f>
        <v>4151.583333333333</v>
      </c>
      <c r="AB13" s="56">
        <f t="shared" si="0"/>
        <v>62295.338233333336</v>
      </c>
    </row>
    <row r="14" spans="1:28" s="1" customFormat="1">
      <c r="A14" s="1">
        <f>A13+1</f>
        <v>4</v>
      </c>
      <c r="B14" s="13" t="s">
        <v>195</v>
      </c>
      <c r="C14" s="27" t="s">
        <v>32</v>
      </c>
      <c r="D14" s="14">
        <v>2022</v>
      </c>
      <c r="E14" s="28" t="s">
        <v>30</v>
      </c>
      <c r="F14" s="29">
        <v>5494</v>
      </c>
      <c r="G14" s="30">
        <v>0</v>
      </c>
      <c r="H14" s="30">
        <v>0</v>
      </c>
      <c r="I14" s="30">
        <v>0</v>
      </c>
      <c r="J14" s="30">
        <v>0</v>
      </c>
      <c r="K14" s="30">
        <v>30</v>
      </c>
      <c r="L14" s="30">
        <v>30</v>
      </c>
      <c r="M14" s="30">
        <v>30</v>
      </c>
      <c r="N14" s="30">
        <v>30</v>
      </c>
      <c r="O14" s="30">
        <v>30</v>
      </c>
      <c r="P14" s="30">
        <v>30</v>
      </c>
      <c r="Q14" s="30">
        <v>30</v>
      </c>
      <c r="R14" s="30">
        <v>30</v>
      </c>
      <c r="S14" s="15">
        <f t="shared" si="2"/>
        <v>240</v>
      </c>
      <c r="T14" s="18">
        <f t="shared" si="1"/>
        <v>8</v>
      </c>
      <c r="U14" s="16">
        <f>ROUND(PRODUCT(F14*T14),0)</f>
        <v>43952</v>
      </c>
      <c r="V14" s="17">
        <f>U14*0.1</f>
        <v>4395.2</v>
      </c>
      <c r="W14" s="17">
        <f>U14*0.0171</f>
        <v>751.57920000000001</v>
      </c>
      <c r="X14" s="17">
        <f>U14*0.03</f>
        <v>1318.56</v>
      </c>
      <c r="Y14" s="19">
        <f>U14*0.02</f>
        <v>879.04</v>
      </c>
      <c r="Z14" s="17">
        <f>SUM(U14:Y14)</f>
        <v>51296.379199999996</v>
      </c>
      <c r="AA14" s="56">
        <f>+F14*S14/360</f>
        <v>3662.6666666666665</v>
      </c>
      <c r="AB14" s="56">
        <f t="shared" si="0"/>
        <v>54959.04586666666</v>
      </c>
    </row>
    <row r="15" spans="1:28" s="1" customFormat="1">
      <c r="B15" s="151" t="s">
        <v>34</v>
      </c>
      <c r="C15" s="152"/>
      <c r="D15" s="152"/>
      <c r="E15" s="152"/>
      <c r="F15" s="152"/>
      <c r="G15" s="152"/>
      <c r="H15" s="152"/>
      <c r="I15" s="152"/>
      <c r="J15" s="152"/>
      <c r="K15" s="152"/>
      <c r="L15" s="152"/>
      <c r="M15" s="152"/>
      <c r="N15" s="152"/>
      <c r="O15" s="152"/>
      <c r="P15" s="152"/>
      <c r="Q15" s="152"/>
      <c r="R15" s="152"/>
      <c r="S15" s="152"/>
      <c r="T15" s="147"/>
      <c r="U15" s="148"/>
      <c r="V15" s="152"/>
      <c r="W15" s="152"/>
      <c r="X15" s="152"/>
      <c r="Y15" s="152"/>
      <c r="Z15" s="149"/>
      <c r="AA15" s="56"/>
      <c r="AB15" s="56">
        <f t="shared" si="0"/>
        <v>0</v>
      </c>
    </row>
    <row r="16" spans="1:28" s="1" customFormat="1">
      <c r="A16" s="1">
        <f>A14+1</f>
        <v>5</v>
      </c>
      <c r="B16" s="13" t="s">
        <v>196</v>
      </c>
      <c r="C16" s="14" t="s">
        <v>32</v>
      </c>
      <c r="D16" s="14">
        <v>2022</v>
      </c>
      <c r="E16" s="15" t="s">
        <v>30</v>
      </c>
      <c r="F16" s="29">
        <v>7722</v>
      </c>
      <c r="G16" s="17">
        <v>26</v>
      </c>
      <c r="H16" s="17">
        <v>30</v>
      </c>
      <c r="I16" s="17">
        <v>30</v>
      </c>
      <c r="J16" s="17">
        <v>0</v>
      </c>
      <c r="K16" s="17">
        <v>0</v>
      </c>
      <c r="L16" s="17">
        <v>0</v>
      </c>
      <c r="M16" s="17">
        <v>0</v>
      </c>
      <c r="N16" s="17">
        <v>0</v>
      </c>
      <c r="O16" s="17">
        <v>0</v>
      </c>
      <c r="P16" s="17">
        <v>0</v>
      </c>
      <c r="Q16" s="17">
        <v>30</v>
      </c>
      <c r="R16" s="17">
        <v>30</v>
      </c>
      <c r="S16" s="15">
        <f t="shared" si="2"/>
        <v>146</v>
      </c>
      <c r="T16" s="18">
        <f t="shared" si="1"/>
        <v>4.8666666666666663</v>
      </c>
      <c r="U16" s="16">
        <f>ROUND(PRODUCT(F16*T16),0)</f>
        <v>37580</v>
      </c>
      <c r="V16" s="17">
        <f>U16*0.1</f>
        <v>3758</v>
      </c>
      <c r="W16" s="17">
        <f>U16*0.0171</f>
        <v>642.61800000000005</v>
      </c>
      <c r="X16" s="17">
        <f>U16*0.03</f>
        <v>1127.3999999999999</v>
      </c>
      <c r="Y16" s="19">
        <f>U16*0.02</f>
        <v>751.6</v>
      </c>
      <c r="Z16" s="17">
        <f>SUM(U16:Y16)</f>
        <v>43859.618000000002</v>
      </c>
      <c r="AA16" s="56"/>
      <c r="AB16" s="56">
        <f t="shared" si="0"/>
        <v>43859.618000000002</v>
      </c>
    </row>
    <row r="17" spans="1:32" s="1" customFormat="1" ht="21">
      <c r="B17" s="143" t="s">
        <v>167</v>
      </c>
      <c r="C17" s="144"/>
      <c r="D17" s="144"/>
      <c r="E17" s="145"/>
      <c r="F17" s="146"/>
      <c r="G17" s="149"/>
      <c r="H17" s="149"/>
      <c r="I17" s="149"/>
      <c r="J17" s="149"/>
      <c r="K17" s="149"/>
      <c r="L17" s="149"/>
      <c r="M17" s="149"/>
      <c r="N17" s="149"/>
      <c r="O17" s="149"/>
      <c r="P17" s="149"/>
      <c r="Q17" s="149"/>
      <c r="R17" s="149"/>
      <c r="S17" s="145"/>
      <c r="T17" s="147"/>
      <c r="U17" s="146"/>
      <c r="V17" s="149"/>
      <c r="W17" s="149"/>
      <c r="X17" s="149"/>
      <c r="Y17" s="150"/>
      <c r="Z17" s="149"/>
      <c r="AA17" s="56"/>
      <c r="AB17" s="56"/>
    </row>
    <row r="18" spans="1:32" s="1" customFormat="1" ht="26.25" customHeight="1">
      <c r="A18" s="1">
        <f>A16+1</f>
        <v>6</v>
      </c>
      <c r="B18" s="13" t="s">
        <v>210</v>
      </c>
      <c r="C18" s="14" t="s">
        <v>32</v>
      </c>
      <c r="D18" s="14">
        <v>2022</v>
      </c>
      <c r="E18" s="15" t="s">
        <v>30</v>
      </c>
      <c r="F18" s="16">
        <v>10693</v>
      </c>
      <c r="G18" s="17">
        <v>26</v>
      </c>
      <c r="H18" s="17">
        <v>30</v>
      </c>
      <c r="I18" s="17">
        <v>30</v>
      </c>
      <c r="J18" s="17">
        <v>30</v>
      </c>
      <c r="K18" s="17">
        <v>30</v>
      </c>
      <c r="L18" s="17">
        <v>30</v>
      </c>
      <c r="M18" s="17">
        <v>30</v>
      </c>
      <c r="N18" s="17">
        <v>30</v>
      </c>
      <c r="O18" s="17">
        <v>30</v>
      </c>
      <c r="P18" s="17">
        <v>30</v>
      </c>
      <c r="Q18" s="17">
        <v>30</v>
      </c>
      <c r="R18" s="17">
        <v>30</v>
      </c>
      <c r="S18" s="15">
        <f t="shared" si="2"/>
        <v>356</v>
      </c>
      <c r="T18" s="18">
        <f>+S18/30</f>
        <v>11.866666666666667</v>
      </c>
      <c r="U18" s="16">
        <f>ROUND(PRODUCT(F18*T18),0)</f>
        <v>126890</v>
      </c>
      <c r="V18" s="17">
        <f>U18*0.1</f>
        <v>12689</v>
      </c>
      <c r="W18" s="17">
        <f>U18*0.0171</f>
        <v>2169.819</v>
      </c>
      <c r="X18" s="17">
        <f>U18*0.03</f>
        <v>3806.7</v>
      </c>
      <c r="Y18" s="19">
        <f>U18*0.02</f>
        <v>2537.8000000000002</v>
      </c>
      <c r="Z18" s="17">
        <f>SUM(U18:Y18)</f>
        <v>148093.31899999999</v>
      </c>
      <c r="AA18" s="56">
        <f>+F18*S18/360</f>
        <v>10574.18888888889</v>
      </c>
      <c r="AB18" s="56">
        <f>+AA18+Z18</f>
        <v>158667.50788888888</v>
      </c>
    </row>
    <row r="19" spans="1:32" s="1" customFormat="1" ht="26.25" customHeight="1">
      <c r="A19" s="1">
        <f>A18+1</f>
        <v>7</v>
      </c>
      <c r="B19" s="13" t="s">
        <v>208</v>
      </c>
      <c r="C19" s="14" t="s">
        <v>32</v>
      </c>
      <c r="D19" s="14">
        <v>2022</v>
      </c>
      <c r="E19" s="15" t="s">
        <v>30</v>
      </c>
      <c r="F19" s="16">
        <v>6906</v>
      </c>
      <c r="G19" s="17">
        <v>0</v>
      </c>
      <c r="H19" s="17">
        <v>0</v>
      </c>
      <c r="I19" s="17">
        <v>0</v>
      </c>
      <c r="J19" s="17">
        <v>0</v>
      </c>
      <c r="K19" s="17">
        <v>0</v>
      </c>
      <c r="L19" s="17">
        <v>0</v>
      </c>
      <c r="M19" s="17">
        <v>0</v>
      </c>
      <c r="N19" s="17">
        <v>30</v>
      </c>
      <c r="O19" s="17">
        <v>30</v>
      </c>
      <c r="P19" s="17">
        <v>30</v>
      </c>
      <c r="Q19" s="17">
        <v>30</v>
      </c>
      <c r="R19" s="17">
        <v>30</v>
      </c>
      <c r="S19" s="15">
        <f t="shared" si="2"/>
        <v>150</v>
      </c>
      <c r="T19" s="18">
        <f>+S19/30</f>
        <v>5</v>
      </c>
      <c r="U19" s="16">
        <f>ROUND(PRODUCT(F19*T19),0)</f>
        <v>34530</v>
      </c>
      <c r="V19" s="17">
        <f>U19*0.1</f>
        <v>3453</v>
      </c>
      <c r="W19" s="17">
        <f>U19*0.0171</f>
        <v>590.46299999999997</v>
      </c>
      <c r="X19" s="17">
        <f>U19*0.03</f>
        <v>1035.8999999999999</v>
      </c>
      <c r="Y19" s="19">
        <f>U19*0.02</f>
        <v>690.6</v>
      </c>
      <c r="Z19" s="17">
        <f>SUM(U19:Y19)</f>
        <v>40299.963000000003</v>
      </c>
      <c r="AA19" s="56">
        <f>+F19*S19/360</f>
        <v>2877.5</v>
      </c>
      <c r="AB19" s="56"/>
    </row>
    <row r="20" spans="1:32" s="1" customFormat="1" ht="26.25" customHeight="1">
      <c r="A20" s="1">
        <f>A19+1</f>
        <v>8</v>
      </c>
      <c r="B20" s="159" t="s">
        <v>175</v>
      </c>
      <c r="C20" s="160" t="s">
        <v>207</v>
      </c>
      <c r="D20" s="160">
        <v>2022</v>
      </c>
      <c r="E20" s="161" t="s">
        <v>30</v>
      </c>
      <c r="F20" s="162">
        <v>0</v>
      </c>
      <c r="G20" s="163">
        <v>26</v>
      </c>
      <c r="H20" s="163">
        <v>30</v>
      </c>
      <c r="I20" s="163">
        <v>30</v>
      </c>
      <c r="J20" s="163">
        <v>30</v>
      </c>
      <c r="K20" s="163">
        <v>30</v>
      </c>
      <c r="L20" s="163">
        <v>0</v>
      </c>
      <c r="M20" s="163">
        <v>0</v>
      </c>
      <c r="N20" s="163">
        <v>0</v>
      </c>
      <c r="O20" s="163">
        <v>0</v>
      </c>
      <c r="P20" s="163">
        <v>0</v>
      </c>
      <c r="Q20" s="163">
        <v>0</v>
      </c>
      <c r="R20" s="163">
        <v>0</v>
      </c>
      <c r="S20" s="161">
        <f t="shared" si="2"/>
        <v>146</v>
      </c>
      <c r="T20" s="164">
        <f>+S20/30</f>
        <v>4.8666666666666663</v>
      </c>
      <c r="U20" s="162">
        <f>ROUND(PRODUCT(F20*T20),0)</f>
        <v>0</v>
      </c>
      <c r="V20" s="163">
        <f>U20*0.1</f>
        <v>0</v>
      </c>
      <c r="W20" s="163">
        <f>U20*0.0171</f>
        <v>0</v>
      </c>
      <c r="X20" s="163">
        <f>U20*0.03</f>
        <v>0</v>
      </c>
      <c r="Y20" s="165">
        <f>U20*0.02</f>
        <v>0</v>
      </c>
      <c r="Z20" s="163">
        <f>SUM(U20:Y20)</f>
        <v>0</v>
      </c>
      <c r="AA20" s="56">
        <f>+F20*S20/360</f>
        <v>0</v>
      </c>
      <c r="AB20" s="56"/>
    </row>
    <row r="21" spans="1:32" s="1" customFormat="1" ht="26.25" customHeight="1">
      <c r="A21" s="1">
        <f>A20+1</f>
        <v>9</v>
      </c>
      <c r="B21" s="13" t="s">
        <v>176</v>
      </c>
      <c r="C21" s="14" t="s">
        <v>32</v>
      </c>
      <c r="D21" s="14">
        <v>2022</v>
      </c>
      <c r="E21" s="15" t="s">
        <v>30</v>
      </c>
      <c r="F21" s="16">
        <v>6906</v>
      </c>
      <c r="G21" s="17">
        <v>0</v>
      </c>
      <c r="H21" s="17">
        <v>0</v>
      </c>
      <c r="I21" s="17">
        <v>0</v>
      </c>
      <c r="J21" s="17">
        <v>0</v>
      </c>
      <c r="K21" s="17">
        <v>0</v>
      </c>
      <c r="L21" s="17">
        <v>0</v>
      </c>
      <c r="M21" s="17">
        <v>0</v>
      </c>
      <c r="N21" s="17">
        <v>30</v>
      </c>
      <c r="O21" s="17">
        <v>30</v>
      </c>
      <c r="P21" s="17">
        <v>30</v>
      </c>
      <c r="Q21" s="17">
        <v>30</v>
      </c>
      <c r="R21" s="17">
        <v>30</v>
      </c>
      <c r="S21" s="15">
        <f t="shared" si="2"/>
        <v>150</v>
      </c>
      <c r="T21" s="18">
        <f>+S21/30</f>
        <v>5</v>
      </c>
      <c r="U21" s="16">
        <f>ROUND(PRODUCT(F21*T21),0)</f>
        <v>34530</v>
      </c>
      <c r="V21" s="17">
        <f>U21*0.1</f>
        <v>3453</v>
      </c>
      <c r="W21" s="17">
        <f>U21*0.0171</f>
        <v>590.46299999999997</v>
      </c>
      <c r="X21" s="17">
        <f>U21*0.03</f>
        <v>1035.8999999999999</v>
      </c>
      <c r="Y21" s="19">
        <f>U21*0.02</f>
        <v>690.6</v>
      </c>
      <c r="Z21" s="17">
        <f>SUM(U21:Y21)</f>
        <v>40299.963000000003</v>
      </c>
      <c r="AA21" s="56">
        <f>+F21*S21/360</f>
        <v>2877.5</v>
      </c>
      <c r="AB21" s="56"/>
    </row>
    <row r="22" spans="1:32" s="1" customFormat="1" ht="26.25" customHeight="1">
      <c r="A22" s="1">
        <f>A21+1</f>
        <v>10</v>
      </c>
      <c r="B22" s="159" t="s">
        <v>177</v>
      </c>
      <c r="C22" s="160" t="s">
        <v>207</v>
      </c>
      <c r="D22" s="160">
        <v>2022</v>
      </c>
      <c r="E22" s="161" t="s">
        <v>30</v>
      </c>
      <c r="F22" s="162">
        <v>0</v>
      </c>
      <c r="G22" s="163">
        <v>0</v>
      </c>
      <c r="H22" s="163">
        <v>0</v>
      </c>
      <c r="I22" s="163">
        <v>0</v>
      </c>
      <c r="J22" s="163">
        <v>0</v>
      </c>
      <c r="K22" s="163">
        <v>0</v>
      </c>
      <c r="L22" s="163">
        <v>0</v>
      </c>
      <c r="M22" s="163">
        <v>0</v>
      </c>
      <c r="N22" s="163">
        <v>30</v>
      </c>
      <c r="O22" s="163">
        <v>30</v>
      </c>
      <c r="P22" s="163">
        <v>30</v>
      </c>
      <c r="Q22" s="163">
        <v>30</v>
      </c>
      <c r="R22" s="163">
        <v>30</v>
      </c>
      <c r="S22" s="161">
        <f t="shared" si="2"/>
        <v>150</v>
      </c>
      <c r="T22" s="164">
        <f>+S22/30</f>
        <v>5</v>
      </c>
      <c r="U22" s="162">
        <f>ROUND(PRODUCT(F22*T22),0)</f>
        <v>0</v>
      </c>
      <c r="V22" s="163">
        <f>U22*0.1</f>
        <v>0</v>
      </c>
      <c r="W22" s="163">
        <f>U22*0.0171</f>
        <v>0</v>
      </c>
      <c r="X22" s="163">
        <f>U22*0.03</f>
        <v>0</v>
      </c>
      <c r="Y22" s="165">
        <f>U22*0.02</f>
        <v>0</v>
      </c>
      <c r="Z22" s="163">
        <f>SUM(U22:Y22)</f>
        <v>0</v>
      </c>
      <c r="AA22" s="56">
        <f>+F22*S22/360</f>
        <v>0</v>
      </c>
      <c r="AB22" s="56"/>
    </row>
    <row r="23" spans="1:32" s="1" customFormat="1" ht="25.5" customHeight="1">
      <c r="B23" s="143" t="s">
        <v>35</v>
      </c>
      <c r="C23" s="144"/>
      <c r="D23" s="144"/>
      <c r="E23" s="145"/>
      <c r="F23" s="146"/>
      <c r="G23" s="149"/>
      <c r="H23" s="146"/>
      <c r="I23" s="146"/>
      <c r="J23" s="146"/>
      <c r="K23" s="146"/>
      <c r="L23" s="146"/>
      <c r="M23" s="146"/>
      <c r="N23" s="146"/>
      <c r="O23" s="146"/>
      <c r="P23" s="146"/>
      <c r="Q23" s="146"/>
      <c r="R23" s="146"/>
      <c r="S23" s="145"/>
      <c r="T23" s="147"/>
      <c r="U23" s="148"/>
      <c r="V23" s="149"/>
      <c r="W23" s="149"/>
      <c r="X23" s="149"/>
      <c r="Y23" s="150"/>
      <c r="Z23" s="149"/>
      <c r="AA23" s="56"/>
      <c r="AB23" s="56">
        <f t="shared" si="0"/>
        <v>0</v>
      </c>
    </row>
    <row r="24" spans="1:32" s="1" customFormat="1" ht="26.25" customHeight="1">
      <c r="A24" s="1">
        <f>A22+1</f>
        <v>11</v>
      </c>
      <c r="B24" s="13" t="s">
        <v>211</v>
      </c>
      <c r="C24" s="14" t="s">
        <v>32</v>
      </c>
      <c r="D24" s="14">
        <v>2022</v>
      </c>
      <c r="E24" s="15" t="s">
        <v>30</v>
      </c>
      <c r="F24" s="16">
        <v>10693</v>
      </c>
      <c r="G24" s="17">
        <v>26</v>
      </c>
      <c r="H24" s="17">
        <v>30</v>
      </c>
      <c r="I24" s="17">
        <v>30</v>
      </c>
      <c r="J24" s="17">
        <v>30</v>
      </c>
      <c r="K24" s="17">
        <v>30</v>
      </c>
      <c r="L24" s="17">
        <v>30</v>
      </c>
      <c r="M24" s="17">
        <v>30</v>
      </c>
      <c r="N24" s="17">
        <v>30</v>
      </c>
      <c r="O24" s="17">
        <v>30</v>
      </c>
      <c r="P24" s="17">
        <v>30</v>
      </c>
      <c r="Q24" s="17">
        <v>30</v>
      </c>
      <c r="R24" s="17">
        <v>30</v>
      </c>
      <c r="S24" s="15">
        <f t="shared" si="2"/>
        <v>356</v>
      </c>
      <c r="T24" s="18">
        <f t="shared" si="1"/>
        <v>11.866666666666667</v>
      </c>
      <c r="U24" s="16">
        <f t="shared" ref="U24:U29" si="3">ROUND(PRODUCT(F24*T24),0)</f>
        <v>126890</v>
      </c>
      <c r="V24" s="17">
        <f t="shared" ref="V24:V29" si="4">U24*0.1</f>
        <v>12689</v>
      </c>
      <c r="W24" s="17">
        <f t="shared" ref="W24:W29" si="5">U24*0.0171</f>
        <v>2169.819</v>
      </c>
      <c r="X24" s="17">
        <f t="shared" ref="X24:X29" si="6">U24*0.03</f>
        <v>3806.7</v>
      </c>
      <c r="Y24" s="19">
        <f t="shared" ref="Y24:Y29" si="7">U24*0.02</f>
        <v>2537.8000000000002</v>
      </c>
      <c r="Z24" s="17">
        <f t="shared" ref="Z24:Z29" si="8">SUM(U24:Y24)</f>
        <v>148093.31899999999</v>
      </c>
      <c r="AA24" s="56">
        <f t="shared" ref="AA24:AA29" si="9">+F24*S24/360</f>
        <v>10574.18888888889</v>
      </c>
      <c r="AB24" s="56">
        <f t="shared" si="0"/>
        <v>158667.50788888888</v>
      </c>
    </row>
    <row r="25" spans="1:32" s="1" customFormat="1" ht="29.25" customHeight="1">
      <c r="A25" s="1">
        <f>A24+1</f>
        <v>12</v>
      </c>
      <c r="B25" s="13" t="s">
        <v>215</v>
      </c>
      <c r="C25" s="14" t="s">
        <v>32</v>
      </c>
      <c r="D25" s="14">
        <v>2022</v>
      </c>
      <c r="E25" s="15" t="s">
        <v>30</v>
      </c>
      <c r="F25" s="16">
        <v>9282</v>
      </c>
      <c r="G25" s="17">
        <v>26</v>
      </c>
      <c r="H25" s="17">
        <v>30</v>
      </c>
      <c r="I25" s="17">
        <v>30</v>
      </c>
      <c r="J25" s="17">
        <v>30</v>
      </c>
      <c r="K25" s="17">
        <v>30</v>
      </c>
      <c r="L25" s="17">
        <v>30</v>
      </c>
      <c r="M25" s="17">
        <v>30</v>
      </c>
      <c r="N25" s="17">
        <v>30</v>
      </c>
      <c r="O25" s="17">
        <v>30</v>
      </c>
      <c r="P25" s="17">
        <v>30</v>
      </c>
      <c r="Q25" s="17">
        <v>30</v>
      </c>
      <c r="R25" s="17">
        <v>30</v>
      </c>
      <c r="S25" s="15">
        <f t="shared" si="2"/>
        <v>356</v>
      </c>
      <c r="T25" s="18">
        <f t="shared" si="1"/>
        <v>11.866666666666667</v>
      </c>
      <c r="U25" s="16">
        <f t="shared" si="3"/>
        <v>110146</v>
      </c>
      <c r="V25" s="17">
        <f t="shared" si="4"/>
        <v>11014.6</v>
      </c>
      <c r="W25" s="17">
        <f t="shared" si="5"/>
        <v>1883.4966000000002</v>
      </c>
      <c r="X25" s="17">
        <f t="shared" si="6"/>
        <v>3304.3799999999997</v>
      </c>
      <c r="Y25" s="19">
        <f t="shared" si="7"/>
        <v>2202.92</v>
      </c>
      <c r="Z25" s="17">
        <f t="shared" si="8"/>
        <v>128551.39660000001</v>
      </c>
      <c r="AA25" s="56">
        <f t="shared" si="9"/>
        <v>9178.8666666666668</v>
      </c>
      <c r="AB25" s="56">
        <f t="shared" si="0"/>
        <v>137730.26326666668</v>
      </c>
    </row>
    <row r="26" spans="1:32" s="1" customFormat="1" ht="21" customHeight="1">
      <c r="A26" s="1">
        <f>A25+1</f>
        <v>13</v>
      </c>
      <c r="B26" s="13" t="s">
        <v>200</v>
      </c>
      <c r="C26" s="14" t="s">
        <v>32</v>
      </c>
      <c r="D26" s="14">
        <v>2022</v>
      </c>
      <c r="E26" s="15" t="s">
        <v>30</v>
      </c>
      <c r="F26" s="16">
        <v>4529</v>
      </c>
      <c r="G26" s="17">
        <v>0</v>
      </c>
      <c r="H26" s="17">
        <v>20</v>
      </c>
      <c r="I26" s="17">
        <v>30</v>
      </c>
      <c r="J26" s="30">
        <v>30</v>
      </c>
      <c r="K26" s="30">
        <v>30</v>
      </c>
      <c r="L26" s="30">
        <v>30</v>
      </c>
      <c r="M26" s="17">
        <v>30</v>
      </c>
      <c r="N26" s="17">
        <v>30</v>
      </c>
      <c r="O26" s="17">
        <v>30</v>
      </c>
      <c r="P26" s="17">
        <v>30</v>
      </c>
      <c r="Q26" s="17">
        <v>30</v>
      </c>
      <c r="R26" s="17">
        <v>30</v>
      </c>
      <c r="S26" s="15">
        <f t="shared" si="2"/>
        <v>320</v>
      </c>
      <c r="T26" s="18">
        <f t="shared" si="1"/>
        <v>10.666666666666666</v>
      </c>
      <c r="U26" s="16">
        <f t="shared" si="3"/>
        <v>48309</v>
      </c>
      <c r="V26" s="17">
        <f t="shared" si="4"/>
        <v>4830.9000000000005</v>
      </c>
      <c r="W26" s="17">
        <f t="shared" si="5"/>
        <v>826.08390000000009</v>
      </c>
      <c r="X26" s="17">
        <f t="shared" si="6"/>
        <v>1449.27</v>
      </c>
      <c r="Y26" s="19">
        <f t="shared" si="7"/>
        <v>966.18000000000006</v>
      </c>
      <c r="Z26" s="17">
        <f t="shared" si="8"/>
        <v>56381.433899999996</v>
      </c>
      <c r="AA26" s="56">
        <f t="shared" si="9"/>
        <v>4025.7777777777778</v>
      </c>
      <c r="AB26" s="56">
        <f t="shared" si="0"/>
        <v>60407.211677777777</v>
      </c>
    </row>
    <row r="27" spans="1:32" s="1" customFormat="1">
      <c r="A27" s="1">
        <f>A26+1</f>
        <v>14</v>
      </c>
      <c r="B27" s="13" t="s">
        <v>201</v>
      </c>
      <c r="C27" s="14" t="s">
        <v>32</v>
      </c>
      <c r="D27" s="14">
        <v>2022</v>
      </c>
      <c r="E27" s="15" t="s">
        <v>30</v>
      </c>
      <c r="F27" s="16">
        <v>4009</v>
      </c>
      <c r="G27" s="17">
        <v>23</v>
      </c>
      <c r="H27" s="17">
        <v>30</v>
      </c>
      <c r="I27" s="17">
        <v>30</v>
      </c>
      <c r="J27" s="17">
        <v>30</v>
      </c>
      <c r="K27" s="17">
        <v>30</v>
      </c>
      <c r="L27" s="17">
        <v>30</v>
      </c>
      <c r="M27" s="17">
        <v>30</v>
      </c>
      <c r="N27" s="17">
        <v>30</v>
      </c>
      <c r="O27" s="17">
        <v>30</v>
      </c>
      <c r="P27" s="17">
        <v>30</v>
      </c>
      <c r="Q27" s="17">
        <v>30</v>
      </c>
      <c r="R27" s="17">
        <v>30</v>
      </c>
      <c r="S27" s="15">
        <f t="shared" si="2"/>
        <v>353</v>
      </c>
      <c r="T27" s="18">
        <f>+S27/30</f>
        <v>11.766666666666667</v>
      </c>
      <c r="U27" s="16">
        <f t="shared" si="3"/>
        <v>47173</v>
      </c>
      <c r="V27" s="17">
        <f>U27*0.1</f>
        <v>4717.3</v>
      </c>
      <c r="W27" s="17">
        <f>U27*0.0171</f>
        <v>806.65830000000005</v>
      </c>
      <c r="X27" s="17">
        <f>U27*0.03</f>
        <v>1415.19</v>
      </c>
      <c r="Y27" s="19">
        <f>U27*0.02</f>
        <v>943.46</v>
      </c>
      <c r="Z27" s="17">
        <f>SUM(U27:Y27)</f>
        <v>55055.608300000007</v>
      </c>
      <c r="AA27" s="56">
        <f t="shared" si="9"/>
        <v>3931.0472222222224</v>
      </c>
      <c r="AB27" s="56">
        <f>+AA27+Z27</f>
        <v>58986.655522222231</v>
      </c>
    </row>
    <row r="28" spans="1:32" s="1" customFormat="1" ht="23.25" customHeight="1">
      <c r="A28" s="1">
        <f>A27+1</f>
        <v>15</v>
      </c>
      <c r="B28" s="13" t="s">
        <v>202</v>
      </c>
      <c r="C28" s="14" t="s">
        <v>32</v>
      </c>
      <c r="D28" s="14">
        <v>2022</v>
      </c>
      <c r="E28" s="15" t="s">
        <v>30</v>
      </c>
      <c r="F28" s="16">
        <v>4009</v>
      </c>
      <c r="G28" s="17">
        <v>26</v>
      </c>
      <c r="H28" s="17">
        <v>30</v>
      </c>
      <c r="I28" s="17">
        <v>30</v>
      </c>
      <c r="J28" s="17">
        <v>30</v>
      </c>
      <c r="K28" s="17">
        <v>30</v>
      </c>
      <c r="L28" s="17">
        <v>30</v>
      </c>
      <c r="M28" s="17">
        <v>30</v>
      </c>
      <c r="N28" s="17">
        <v>30</v>
      </c>
      <c r="O28" s="17">
        <v>30</v>
      </c>
      <c r="P28" s="17">
        <v>30</v>
      </c>
      <c r="Q28" s="17">
        <v>30</v>
      </c>
      <c r="R28" s="17">
        <v>30</v>
      </c>
      <c r="S28" s="15">
        <f t="shared" si="2"/>
        <v>356</v>
      </c>
      <c r="T28" s="18">
        <f t="shared" si="1"/>
        <v>11.866666666666667</v>
      </c>
      <c r="U28" s="16">
        <f t="shared" si="3"/>
        <v>47573</v>
      </c>
      <c r="V28" s="17">
        <f t="shared" si="4"/>
        <v>4757.3</v>
      </c>
      <c r="W28" s="17">
        <f t="shared" si="5"/>
        <v>813.49830000000009</v>
      </c>
      <c r="X28" s="17">
        <f t="shared" si="6"/>
        <v>1427.19</v>
      </c>
      <c r="Y28" s="19">
        <f t="shared" si="7"/>
        <v>951.46</v>
      </c>
      <c r="Z28" s="17">
        <f t="shared" si="8"/>
        <v>55522.448300000004</v>
      </c>
      <c r="AA28" s="56">
        <f t="shared" si="9"/>
        <v>3964.4555555555557</v>
      </c>
      <c r="AB28" s="56">
        <f t="shared" si="0"/>
        <v>59486.90385555556</v>
      </c>
    </row>
    <row r="29" spans="1:32" s="1" customFormat="1" ht="23.25" customHeight="1">
      <c r="A29" s="1">
        <f>A28+1</f>
        <v>16</v>
      </c>
      <c r="B29" s="13" t="s">
        <v>203</v>
      </c>
      <c r="C29" s="14" t="s">
        <v>32</v>
      </c>
      <c r="D29" s="14">
        <v>2022</v>
      </c>
      <c r="E29" s="15" t="s">
        <v>30</v>
      </c>
      <c r="F29" s="16">
        <v>3340</v>
      </c>
      <c r="G29" s="17">
        <v>0</v>
      </c>
      <c r="H29" s="17">
        <v>30</v>
      </c>
      <c r="I29" s="17">
        <v>30</v>
      </c>
      <c r="J29" s="17">
        <v>30</v>
      </c>
      <c r="K29" s="17">
        <v>30</v>
      </c>
      <c r="L29" s="17">
        <v>30</v>
      </c>
      <c r="M29" s="17">
        <v>0</v>
      </c>
      <c r="N29" s="17">
        <v>0</v>
      </c>
      <c r="O29" s="17">
        <v>0</v>
      </c>
      <c r="P29" s="17">
        <v>0</v>
      </c>
      <c r="Q29" s="17">
        <v>0</v>
      </c>
      <c r="R29" s="17">
        <v>0</v>
      </c>
      <c r="S29" s="15">
        <f t="shared" si="2"/>
        <v>150</v>
      </c>
      <c r="T29" s="18">
        <f t="shared" si="1"/>
        <v>5</v>
      </c>
      <c r="U29" s="16">
        <f t="shared" si="3"/>
        <v>16700</v>
      </c>
      <c r="V29" s="17">
        <f t="shared" si="4"/>
        <v>1670</v>
      </c>
      <c r="W29" s="17">
        <f t="shared" si="5"/>
        <v>285.57</v>
      </c>
      <c r="X29" s="17">
        <f t="shared" si="6"/>
        <v>501</v>
      </c>
      <c r="Y29" s="19">
        <f t="shared" si="7"/>
        <v>334</v>
      </c>
      <c r="Z29" s="17">
        <f t="shared" si="8"/>
        <v>19490.57</v>
      </c>
      <c r="AA29" s="56">
        <f t="shared" si="9"/>
        <v>1391.6666666666667</v>
      </c>
      <c r="AB29" s="56">
        <f t="shared" si="0"/>
        <v>20882.236666666668</v>
      </c>
    </row>
    <row r="30" spans="1:32" s="1" customFormat="1" ht="28.5" customHeight="1">
      <c r="B30" s="143" t="s">
        <v>38</v>
      </c>
      <c r="C30" s="153"/>
      <c r="D30" s="154"/>
      <c r="E30" s="154"/>
      <c r="F30" s="154"/>
      <c r="G30" s="154"/>
      <c r="H30" s="154"/>
      <c r="I30" s="154"/>
      <c r="J30" s="154"/>
      <c r="K30" s="154"/>
      <c r="L30" s="154"/>
      <c r="M30" s="154"/>
      <c r="N30" s="154"/>
      <c r="O30" s="154"/>
      <c r="P30" s="154"/>
      <c r="Q30" s="154"/>
      <c r="R30" s="154"/>
      <c r="S30" s="154"/>
      <c r="T30" s="154"/>
      <c r="U30" s="146"/>
      <c r="V30" s="154"/>
      <c r="W30" s="154"/>
      <c r="X30" s="154"/>
      <c r="Y30" s="154"/>
      <c r="Z30" s="149"/>
      <c r="AA30" s="56"/>
      <c r="AB30" s="56">
        <f>+AA30+Z30</f>
        <v>0</v>
      </c>
    </row>
    <row r="31" spans="1:32" s="1" customFormat="1" ht="33.75" customHeight="1">
      <c r="A31" s="1">
        <f>A29+1</f>
        <v>17</v>
      </c>
      <c r="B31" s="13" t="s">
        <v>212</v>
      </c>
      <c r="C31" s="14" t="s">
        <v>32</v>
      </c>
      <c r="D31" s="14">
        <v>2022</v>
      </c>
      <c r="E31" s="15" t="s">
        <v>30</v>
      </c>
      <c r="F31" s="16">
        <v>10693</v>
      </c>
      <c r="G31" s="17">
        <v>20</v>
      </c>
      <c r="H31" s="17">
        <v>30</v>
      </c>
      <c r="I31" s="17">
        <v>30</v>
      </c>
      <c r="J31" s="17">
        <v>30</v>
      </c>
      <c r="K31" s="17">
        <v>30</v>
      </c>
      <c r="L31" s="17">
        <v>30</v>
      </c>
      <c r="M31" s="17">
        <v>30</v>
      </c>
      <c r="N31" s="17">
        <v>30</v>
      </c>
      <c r="O31" s="17">
        <v>30</v>
      </c>
      <c r="P31" s="17">
        <v>30</v>
      </c>
      <c r="Q31" s="17">
        <v>30</v>
      </c>
      <c r="R31" s="17">
        <v>30</v>
      </c>
      <c r="S31" s="15">
        <f t="shared" si="2"/>
        <v>350</v>
      </c>
      <c r="T31" s="18">
        <f>+S31/30</f>
        <v>11.666666666666666</v>
      </c>
      <c r="U31" s="16">
        <f>ROUND(PRODUCT(F31*T31),0)</f>
        <v>124752</v>
      </c>
      <c r="V31" s="17">
        <f>U31*0.1</f>
        <v>12475.2</v>
      </c>
      <c r="W31" s="17">
        <f>U31*0.0171</f>
        <v>2133.2592</v>
      </c>
      <c r="X31" s="17">
        <f>U31*0.03</f>
        <v>3742.56</v>
      </c>
      <c r="Y31" s="19">
        <f>U31*0.02</f>
        <v>2495.04</v>
      </c>
      <c r="Z31" s="17">
        <f>SUM(U31:Y31)</f>
        <v>145598.05920000002</v>
      </c>
      <c r="AA31" s="56">
        <f>+F31*S31/360</f>
        <v>10395.972222222223</v>
      </c>
      <c r="AB31" s="56">
        <f>+AA31+Z31</f>
        <v>155994.03142222224</v>
      </c>
    </row>
    <row r="32" spans="1:32" s="1" customFormat="1" ht="29.25" customHeight="1">
      <c r="A32" s="1">
        <f>A31+1</f>
        <v>18</v>
      </c>
      <c r="B32" s="159" t="s">
        <v>168</v>
      </c>
      <c r="C32" s="160" t="s">
        <v>207</v>
      </c>
      <c r="D32" s="160">
        <v>2022</v>
      </c>
      <c r="E32" s="161" t="s">
        <v>30</v>
      </c>
      <c r="F32" s="162">
        <v>0</v>
      </c>
      <c r="G32" s="163">
        <v>0</v>
      </c>
      <c r="H32" s="163">
        <v>30</v>
      </c>
      <c r="I32" s="163">
        <v>30</v>
      </c>
      <c r="J32" s="163">
        <v>30</v>
      </c>
      <c r="K32" s="163">
        <v>0</v>
      </c>
      <c r="L32" s="163">
        <v>0</v>
      </c>
      <c r="M32" s="163">
        <v>0</v>
      </c>
      <c r="N32" s="163">
        <v>0</v>
      </c>
      <c r="O32" s="163">
        <v>0</v>
      </c>
      <c r="P32" s="163">
        <v>0</v>
      </c>
      <c r="Q32" s="163">
        <v>0</v>
      </c>
      <c r="R32" s="163">
        <v>0</v>
      </c>
      <c r="S32" s="161">
        <f t="shared" si="2"/>
        <v>90</v>
      </c>
      <c r="T32" s="164">
        <f>+S32/30</f>
        <v>3</v>
      </c>
      <c r="U32" s="162">
        <f>ROUND(PRODUCT(F32*T32),0)</f>
        <v>0</v>
      </c>
      <c r="V32" s="163">
        <f>U32*0.1</f>
        <v>0</v>
      </c>
      <c r="W32" s="163">
        <f>U32*0.0171</f>
        <v>0</v>
      </c>
      <c r="X32" s="163">
        <f>U32*0.03</f>
        <v>0</v>
      </c>
      <c r="Y32" s="165">
        <f>U32*0.02</f>
        <v>0</v>
      </c>
      <c r="Z32" s="163">
        <f>SUM(U32:Y32)</f>
        <v>0</v>
      </c>
      <c r="AA32" s="56">
        <f>+F32*S32/360</f>
        <v>0</v>
      </c>
      <c r="AB32" s="56">
        <f>+AA32+Z32</f>
        <v>0</v>
      </c>
      <c r="AF32" s="1">
        <v>20</v>
      </c>
    </row>
    <row r="33" spans="1:32" s="1" customFormat="1" ht="29.25" customHeight="1">
      <c r="A33" s="1">
        <f>A32+1</f>
        <v>19</v>
      </c>
      <c r="B33" s="159" t="s">
        <v>169</v>
      </c>
      <c r="C33" s="160" t="s">
        <v>207</v>
      </c>
      <c r="D33" s="160">
        <v>2022</v>
      </c>
      <c r="E33" s="161" t="s">
        <v>30</v>
      </c>
      <c r="F33" s="162">
        <v>0</v>
      </c>
      <c r="G33" s="163">
        <v>0</v>
      </c>
      <c r="H33" s="163">
        <v>30</v>
      </c>
      <c r="I33" s="163">
        <v>30</v>
      </c>
      <c r="J33" s="163">
        <v>0</v>
      </c>
      <c r="K33" s="163">
        <v>0</v>
      </c>
      <c r="L33" s="163">
        <v>0</v>
      </c>
      <c r="M33" s="163">
        <v>0</v>
      </c>
      <c r="N33" s="163">
        <v>0</v>
      </c>
      <c r="O33" s="163">
        <v>0</v>
      </c>
      <c r="P33" s="163">
        <v>0</v>
      </c>
      <c r="Q33" s="163">
        <v>0</v>
      </c>
      <c r="R33" s="163">
        <v>0</v>
      </c>
      <c r="S33" s="161">
        <f t="shared" si="2"/>
        <v>60</v>
      </c>
      <c r="T33" s="164">
        <f>+S33/30</f>
        <v>2</v>
      </c>
      <c r="U33" s="162">
        <f>ROUND(PRODUCT(F33*T33),0)</f>
        <v>0</v>
      </c>
      <c r="V33" s="163">
        <f>U33*0.1</f>
        <v>0</v>
      </c>
      <c r="W33" s="163">
        <f>U33*0.0171</f>
        <v>0</v>
      </c>
      <c r="X33" s="163">
        <f>U33*0.03</f>
        <v>0</v>
      </c>
      <c r="Y33" s="165">
        <f>U33*0.02</f>
        <v>0</v>
      </c>
      <c r="Z33" s="163">
        <f>SUM(U33:Y33)</f>
        <v>0</v>
      </c>
      <c r="AA33" s="56">
        <f>+F33*S33/360</f>
        <v>0</v>
      </c>
      <c r="AB33" s="56"/>
    </row>
    <row r="34" spans="1:32" s="1" customFormat="1" ht="26.25" customHeight="1">
      <c r="A34" s="1">
        <f>A33+1</f>
        <v>20</v>
      </c>
      <c r="B34" s="13" t="s">
        <v>170</v>
      </c>
      <c r="C34" s="14" t="s">
        <v>32</v>
      </c>
      <c r="D34" s="14">
        <v>2022</v>
      </c>
      <c r="E34" s="15" t="s">
        <v>30</v>
      </c>
      <c r="F34" s="16">
        <v>3340</v>
      </c>
      <c r="G34" s="17">
        <v>0</v>
      </c>
      <c r="H34" s="17">
        <v>30</v>
      </c>
      <c r="I34" s="17">
        <v>30</v>
      </c>
      <c r="J34" s="17">
        <v>30</v>
      </c>
      <c r="K34" s="17">
        <v>30</v>
      </c>
      <c r="L34" s="17">
        <v>30</v>
      </c>
      <c r="M34" s="17">
        <v>0</v>
      </c>
      <c r="N34" s="17">
        <v>0</v>
      </c>
      <c r="O34" s="17">
        <v>0</v>
      </c>
      <c r="P34" s="17">
        <v>0</v>
      </c>
      <c r="Q34" s="17">
        <v>0</v>
      </c>
      <c r="R34" s="17">
        <v>0</v>
      </c>
      <c r="S34" s="15">
        <f t="shared" si="2"/>
        <v>150</v>
      </c>
      <c r="T34" s="18">
        <f>+S34/30</f>
        <v>5</v>
      </c>
      <c r="U34" s="16">
        <f>ROUND(PRODUCT(F34*T34),0)</f>
        <v>16700</v>
      </c>
      <c r="V34" s="17">
        <f>U34*0.1</f>
        <v>1670</v>
      </c>
      <c r="W34" s="17">
        <f>U34*0.0171</f>
        <v>285.57</v>
      </c>
      <c r="X34" s="17">
        <f>U34*0.03</f>
        <v>501</v>
      </c>
      <c r="Y34" s="19">
        <f>U34*0.02</f>
        <v>334</v>
      </c>
      <c r="Z34" s="17">
        <f>SUM(U34:Y34)</f>
        <v>19490.57</v>
      </c>
      <c r="AA34" s="56">
        <f>+F34*S34/360</f>
        <v>1391.6666666666667</v>
      </c>
      <c r="AB34" s="56">
        <f>+AA34+Z34</f>
        <v>20882.236666666668</v>
      </c>
      <c r="AF34" s="1">
        <v>30</v>
      </c>
    </row>
    <row r="35" spans="1:32" s="1" customFormat="1" ht="26.25" customHeight="1">
      <c r="B35" s="139" t="s">
        <v>39</v>
      </c>
      <c r="C35" s="144"/>
      <c r="D35" s="144"/>
      <c r="E35" s="145"/>
      <c r="F35" s="146"/>
      <c r="G35" s="146"/>
      <c r="H35" s="146"/>
      <c r="I35" s="146"/>
      <c r="J35" s="146"/>
      <c r="K35" s="146"/>
      <c r="L35" s="146"/>
      <c r="M35" s="146"/>
      <c r="N35" s="146"/>
      <c r="O35" s="146"/>
      <c r="P35" s="146"/>
      <c r="Q35" s="146"/>
      <c r="R35" s="146"/>
      <c r="S35" s="145"/>
      <c r="T35" s="145"/>
      <c r="U35" s="146"/>
      <c r="V35" s="149"/>
      <c r="W35" s="149"/>
      <c r="X35" s="149"/>
      <c r="Y35" s="150"/>
      <c r="Z35" s="149"/>
      <c r="AA35" s="56"/>
      <c r="AB35" s="56">
        <f>+AA35+Z35</f>
        <v>0</v>
      </c>
      <c r="AF35" s="1">
        <v>30</v>
      </c>
    </row>
    <row r="36" spans="1:32" s="1" customFormat="1" ht="29.25" customHeight="1">
      <c r="A36" s="1">
        <f>A34+1</f>
        <v>21</v>
      </c>
      <c r="B36" s="13" t="s">
        <v>213</v>
      </c>
      <c r="C36" s="14" t="s">
        <v>32</v>
      </c>
      <c r="D36" s="14">
        <v>2022</v>
      </c>
      <c r="E36" s="15" t="s">
        <v>30</v>
      </c>
      <c r="F36" s="16">
        <v>10693</v>
      </c>
      <c r="G36" s="17">
        <v>25</v>
      </c>
      <c r="H36" s="17">
        <v>30</v>
      </c>
      <c r="I36" s="17">
        <v>30</v>
      </c>
      <c r="J36" s="17">
        <v>30</v>
      </c>
      <c r="K36" s="17">
        <v>30</v>
      </c>
      <c r="L36" s="17">
        <v>30</v>
      </c>
      <c r="M36" s="17">
        <v>30</v>
      </c>
      <c r="N36" s="17">
        <v>30</v>
      </c>
      <c r="O36" s="17">
        <v>30</v>
      </c>
      <c r="P36" s="17">
        <v>30</v>
      </c>
      <c r="Q36" s="17">
        <v>30</v>
      </c>
      <c r="R36" s="17">
        <v>30</v>
      </c>
      <c r="S36" s="15">
        <f t="shared" si="2"/>
        <v>355</v>
      </c>
      <c r="T36" s="18">
        <f>+S36/30</f>
        <v>11.833333333333334</v>
      </c>
      <c r="U36" s="16">
        <f>ROUND(PRODUCT(F36*T36),0)</f>
        <v>126534</v>
      </c>
      <c r="V36" s="17">
        <f>U36*0.1</f>
        <v>12653.400000000001</v>
      </c>
      <c r="W36" s="17">
        <f>U36*0.0171</f>
        <v>2163.7314000000001</v>
      </c>
      <c r="X36" s="17">
        <f>U36*0.03</f>
        <v>3796.02</v>
      </c>
      <c r="Y36" s="19">
        <f>U36*0.02</f>
        <v>2530.6799999999998</v>
      </c>
      <c r="Z36" s="17">
        <f>SUM(U36:Y36)</f>
        <v>147677.83139999997</v>
      </c>
      <c r="AA36" s="56">
        <f>+F36*S36/360</f>
        <v>10544.486111111111</v>
      </c>
      <c r="AB36" s="56">
        <f>+AA36+Z36</f>
        <v>158222.31751111109</v>
      </c>
      <c r="AF36" s="1">
        <v>10</v>
      </c>
    </row>
    <row r="37" spans="1:32" s="1" customFormat="1" ht="23.25" customHeight="1">
      <c r="A37" s="1">
        <f>A36+1</f>
        <v>22</v>
      </c>
      <c r="B37" s="13" t="s">
        <v>171</v>
      </c>
      <c r="C37" s="14" t="s">
        <v>32</v>
      </c>
      <c r="D37" s="14">
        <v>2022</v>
      </c>
      <c r="E37" s="15" t="s">
        <v>30</v>
      </c>
      <c r="F37" s="16">
        <v>6906</v>
      </c>
      <c r="G37" s="17">
        <v>0</v>
      </c>
      <c r="H37" s="17">
        <v>20</v>
      </c>
      <c r="I37" s="17">
        <v>30</v>
      </c>
      <c r="J37" s="17">
        <v>30</v>
      </c>
      <c r="K37" s="17">
        <v>30</v>
      </c>
      <c r="L37" s="17">
        <v>30</v>
      </c>
      <c r="M37" s="17">
        <v>0</v>
      </c>
      <c r="N37" s="17">
        <v>0</v>
      </c>
      <c r="O37" s="17">
        <v>0</v>
      </c>
      <c r="P37" s="17">
        <v>0</v>
      </c>
      <c r="Q37" s="17">
        <v>0</v>
      </c>
      <c r="R37" s="17">
        <v>0</v>
      </c>
      <c r="S37" s="15">
        <f t="shared" si="2"/>
        <v>140</v>
      </c>
      <c r="T37" s="18">
        <f>+S37/30</f>
        <v>4.666666666666667</v>
      </c>
      <c r="U37" s="16">
        <f>ROUND(PRODUCT(F37*T37),0)</f>
        <v>32228</v>
      </c>
      <c r="V37" s="17">
        <f>U37*0.1</f>
        <v>3222.8</v>
      </c>
      <c r="W37" s="17">
        <f>U37*0.0171</f>
        <v>551.09879999999998</v>
      </c>
      <c r="X37" s="17">
        <f>U37*0.03</f>
        <v>966.83999999999992</v>
      </c>
      <c r="Y37" s="19">
        <f>U37*0.02</f>
        <v>644.56000000000006</v>
      </c>
      <c r="Z37" s="17">
        <f>SUM(U37:Y37)</f>
        <v>37613.298799999997</v>
      </c>
      <c r="AA37" s="56">
        <f>+F37*S37/360</f>
        <v>2685.6666666666665</v>
      </c>
      <c r="AB37" s="56">
        <f>+AA37+Z37</f>
        <v>40298.965466666661</v>
      </c>
      <c r="AF37" s="1">
        <f>SUM(AF32:AF36)</f>
        <v>90</v>
      </c>
    </row>
    <row r="38" spans="1:32" s="1" customFormat="1" ht="23.25" customHeight="1">
      <c r="A38" s="1">
        <f>A37+1</f>
        <v>23</v>
      </c>
      <c r="B38" s="159" t="s">
        <v>172</v>
      </c>
      <c r="C38" s="160" t="s">
        <v>207</v>
      </c>
      <c r="D38" s="160">
        <v>2022</v>
      </c>
      <c r="E38" s="161" t="s">
        <v>30</v>
      </c>
      <c r="F38" s="162">
        <v>0</v>
      </c>
      <c r="G38" s="163">
        <v>0</v>
      </c>
      <c r="H38" s="163">
        <v>30</v>
      </c>
      <c r="I38" s="163">
        <v>0</v>
      </c>
      <c r="J38" s="163">
        <v>0</v>
      </c>
      <c r="K38" s="163">
        <v>0</v>
      </c>
      <c r="L38" s="163">
        <v>0</v>
      </c>
      <c r="M38" s="163">
        <v>0</v>
      </c>
      <c r="N38" s="163">
        <v>0</v>
      </c>
      <c r="O38" s="163">
        <v>0</v>
      </c>
      <c r="P38" s="163">
        <v>0</v>
      </c>
      <c r="Q38" s="163">
        <v>0</v>
      </c>
      <c r="R38" s="163">
        <v>0</v>
      </c>
      <c r="S38" s="161">
        <f t="shared" si="2"/>
        <v>30</v>
      </c>
      <c r="T38" s="164">
        <f>+S38/30</f>
        <v>1</v>
      </c>
      <c r="U38" s="162">
        <f>ROUND(PRODUCT(F38*T38),0)</f>
        <v>0</v>
      </c>
      <c r="V38" s="163">
        <f>U38*0.1</f>
        <v>0</v>
      </c>
      <c r="W38" s="163">
        <f>U38*0.0171</f>
        <v>0</v>
      </c>
      <c r="X38" s="163">
        <f>U38*0.03</f>
        <v>0</v>
      </c>
      <c r="Y38" s="165">
        <f>U38*0.02</f>
        <v>0</v>
      </c>
      <c r="Z38" s="163">
        <f>SUM(U38:Y38)</f>
        <v>0</v>
      </c>
      <c r="AA38" s="56"/>
      <c r="AB38" s="56"/>
    </row>
    <row r="39" spans="1:32" s="1" customFormat="1" ht="28.5" customHeight="1">
      <c r="B39" s="139" t="s">
        <v>37</v>
      </c>
      <c r="C39" s="140"/>
      <c r="D39" s="140"/>
      <c r="E39" s="140"/>
      <c r="F39" s="155"/>
      <c r="G39" s="155"/>
      <c r="H39" s="155"/>
      <c r="I39" s="155"/>
      <c r="J39" s="155"/>
      <c r="K39" s="155"/>
      <c r="L39" s="155"/>
      <c r="M39" s="155"/>
      <c r="N39" s="155"/>
      <c r="O39" s="155"/>
      <c r="P39" s="155"/>
      <c r="Q39" s="155"/>
      <c r="R39" s="155"/>
      <c r="S39" s="140"/>
      <c r="T39" s="140"/>
      <c r="U39" s="148"/>
      <c r="V39" s="141"/>
      <c r="W39" s="141"/>
      <c r="X39" s="141"/>
      <c r="Y39" s="141"/>
      <c r="Z39" s="149"/>
      <c r="AA39" s="56"/>
      <c r="AB39" s="56">
        <f t="shared" si="0"/>
        <v>0</v>
      </c>
    </row>
    <row r="40" spans="1:32" s="1" customFormat="1" ht="20.399999999999999">
      <c r="A40" s="1">
        <f>A38+1</f>
        <v>24</v>
      </c>
      <c r="B40" s="25" t="s">
        <v>214</v>
      </c>
      <c r="C40" s="14" t="s">
        <v>32</v>
      </c>
      <c r="D40" s="14">
        <v>2022</v>
      </c>
      <c r="E40" s="15" t="s">
        <v>30</v>
      </c>
      <c r="F40" s="26">
        <v>10693</v>
      </c>
      <c r="G40" s="17">
        <v>26</v>
      </c>
      <c r="H40" s="17">
        <v>30</v>
      </c>
      <c r="I40" s="17">
        <v>30</v>
      </c>
      <c r="J40" s="17">
        <v>30</v>
      </c>
      <c r="K40" s="17">
        <v>30</v>
      </c>
      <c r="L40" s="17">
        <v>30</v>
      </c>
      <c r="M40" s="17">
        <v>30</v>
      </c>
      <c r="N40" s="17">
        <v>30</v>
      </c>
      <c r="O40" s="17">
        <v>30</v>
      </c>
      <c r="P40" s="17">
        <v>30</v>
      </c>
      <c r="Q40" s="17">
        <v>30</v>
      </c>
      <c r="R40" s="17">
        <v>30</v>
      </c>
      <c r="S40" s="15">
        <f t="shared" si="2"/>
        <v>356</v>
      </c>
      <c r="T40" s="18">
        <f>+S40/30</f>
        <v>11.866666666666667</v>
      </c>
      <c r="U40" s="16">
        <f>ROUND(PRODUCT(F40*T40),0)</f>
        <v>126890</v>
      </c>
      <c r="V40" s="17">
        <f>U40*0.1</f>
        <v>12689</v>
      </c>
      <c r="W40" s="17">
        <f>U40*0.0171</f>
        <v>2169.819</v>
      </c>
      <c r="X40" s="17">
        <f>U40*0.03</f>
        <v>3806.7</v>
      </c>
      <c r="Y40" s="19">
        <f>U40*0.02</f>
        <v>2537.8000000000002</v>
      </c>
      <c r="Z40" s="17">
        <f>SUM(U40:Y40)</f>
        <v>148093.31899999999</v>
      </c>
      <c r="AA40" s="56">
        <f>+F40*S40/360</f>
        <v>10574.18888888889</v>
      </c>
      <c r="AB40" s="56">
        <f t="shared" si="0"/>
        <v>158667.50788888888</v>
      </c>
    </row>
    <row r="41" spans="1:32" s="1" customFormat="1" ht="29.25" customHeight="1">
      <c r="A41" s="1">
        <f>A40+1</f>
        <v>25</v>
      </c>
      <c r="B41" s="13" t="s">
        <v>173</v>
      </c>
      <c r="C41" s="14" t="s">
        <v>32</v>
      </c>
      <c r="D41" s="14">
        <v>2022</v>
      </c>
      <c r="E41" s="15" t="s">
        <v>30</v>
      </c>
      <c r="F41" s="16">
        <v>6906</v>
      </c>
      <c r="G41" s="17">
        <v>0</v>
      </c>
      <c r="H41" s="17">
        <v>20</v>
      </c>
      <c r="I41" s="17">
        <v>30</v>
      </c>
      <c r="J41" s="17">
        <v>30</v>
      </c>
      <c r="K41" s="17">
        <v>30</v>
      </c>
      <c r="L41" s="17">
        <v>30</v>
      </c>
      <c r="M41" s="17">
        <v>0</v>
      </c>
      <c r="N41" s="17">
        <v>0</v>
      </c>
      <c r="O41" s="17">
        <v>0</v>
      </c>
      <c r="P41" s="17">
        <v>0</v>
      </c>
      <c r="Q41" s="17">
        <v>0</v>
      </c>
      <c r="R41" s="17">
        <v>0</v>
      </c>
      <c r="S41" s="15">
        <f t="shared" si="2"/>
        <v>140</v>
      </c>
      <c r="T41" s="18">
        <f>+S41/30</f>
        <v>4.666666666666667</v>
      </c>
      <c r="U41" s="16">
        <f>ROUND(PRODUCT(F41*T41),0)</f>
        <v>32228</v>
      </c>
      <c r="V41" s="17">
        <f>U41*0.1</f>
        <v>3222.8</v>
      </c>
      <c r="W41" s="17">
        <f>U41*0.0171</f>
        <v>551.09879999999998</v>
      </c>
      <c r="X41" s="17">
        <f>U41*0.03</f>
        <v>966.83999999999992</v>
      </c>
      <c r="Y41" s="19">
        <f>U41*0.02</f>
        <v>644.56000000000006</v>
      </c>
      <c r="Z41" s="17">
        <f>SUM(U41:Y41)</f>
        <v>37613.298799999997</v>
      </c>
      <c r="AA41" s="56">
        <f>+F41*S41/360</f>
        <v>2685.6666666666665</v>
      </c>
      <c r="AB41" s="56">
        <f t="shared" si="0"/>
        <v>40298.965466666661</v>
      </c>
    </row>
    <row r="42" spans="1:32" s="1" customFormat="1" ht="24" customHeight="1">
      <c r="A42" s="1">
        <f>A41+1</f>
        <v>26</v>
      </c>
      <c r="B42" s="159" t="s">
        <v>216</v>
      </c>
      <c r="C42" s="160" t="s">
        <v>207</v>
      </c>
      <c r="D42" s="160">
        <v>2022</v>
      </c>
      <c r="E42" s="161" t="s">
        <v>30</v>
      </c>
      <c r="F42" s="162">
        <v>0</v>
      </c>
      <c r="G42" s="163">
        <v>0</v>
      </c>
      <c r="H42" s="163">
        <v>30</v>
      </c>
      <c r="I42" s="163">
        <v>0</v>
      </c>
      <c r="J42" s="163">
        <v>0</v>
      </c>
      <c r="K42" s="163">
        <v>0</v>
      </c>
      <c r="L42" s="163">
        <v>0</v>
      </c>
      <c r="M42" s="163">
        <v>0</v>
      </c>
      <c r="N42" s="163">
        <v>0</v>
      </c>
      <c r="O42" s="163">
        <v>0</v>
      </c>
      <c r="P42" s="163">
        <v>0</v>
      </c>
      <c r="Q42" s="163">
        <v>0</v>
      </c>
      <c r="R42" s="163">
        <v>0</v>
      </c>
      <c r="S42" s="161">
        <f t="shared" si="2"/>
        <v>30</v>
      </c>
      <c r="T42" s="164">
        <f>+S42/30</f>
        <v>1</v>
      </c>
      <c r="U42" s="162">
        <f>ROUND(PRODUCT(F42*T42),0)</f>
        <v>0</v>
      </c>
      <c r="V42" s="163">
        <f>U42*0.1</f>
        <v>0</v>
      </c>
      <c r="W42" s="163">
        <f>U42*0.0171</f>
        <v>0</v>
      </c>
      <c r="X42" s="163">
        <f>U42*0.03</f>
        <v>0</v>
      </c>
      <c r="Y42" s="165">
        <f>U42*0.02</f>
        <v>0</v>
      </c>
      <c r="Z42" s="163">
        <f>SUM(U42:Y42)</f>
        <v>0</v>
      </c>
      <c r="AA42" s="56"/>
      <c r="AB42" s="56">
        <f t="shared" si="0"/>
        <v>0</v>
      </c>
    </row>
    <row r="43" spans="1:32" s="1" customFormat="1">
      <c r="B43" s="4"/>
      <c r="C43" s="5"/>
      <c r="D43" s="5"/>
      <c r="E43" s="5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31"/>
      <c r="V43" s="6"/>
      <c r="W43" s="6"/>
      <c r="X43" s="6"/>
      <c r="Y43" s="6"/>
      <c r="Z43" s="12"/>
      <c r="AA43" s="56"/>
      <c r="AB43" s="56">
        <f t="shared" si="0"/>
        <v>0</v>
      </c>
    </row>
    <row r="44" spans="1:32" s="1" customFormat="1">
      <c r="B44" s="32" t="s">
        <v>40</v>
      </c>
      <c r="C44" s="33">
        <v>18</v>
      </c>
      <c r="D44" s="34"/>
      <c r="E44" s="35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7">
        <f>SUM(U12:U43)</f>
        <v>1310314</v>
      </c>
      <c r="V44" s="38">
        <f>SUM(V10:V43)</f>
        <v>154473.4</v>
      </c>
      <c r="W44" s="38">
        <f>SUM(W10:W43)</f>
        <v>26414.951399999998</v>
      </c>
      <c r="X44" s="38">
        <f>SUM(X10:X43)</f>
        <v>46342.01999999999</v>
      </c>
      <c r="Y44" s="39">
        <f>SUM(Y10:Y43)</f>
        <v>30894.680000000004</v>
      </c>
      <c r="Z44" s="38">
        <f>SUM(Z12:Z43)</f>
        <v>1529267.4693999998</v>
      </c>
      <c r="AA44" s="56">
        <f>SUM(AA9:AA42)</f>
        <v>125596.2777777778</v>
      </c>
      <c r="AB44" s="57">
        <f>SUM(AB9:AB42)</f>
        <v>1842100.4031777775</v>
      </c>
    </row>
    <row r="45" spans="1:32" s="1" customFormat="1">
      <c r="B45" s="32" t="s">
        <v>41</v>
      </c>
      <c r="C45" s="33">
        <v>18</v>
      </c>
      <c r="D45" s="34"/>
      <c r="E45" s="35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8">
        <f>SUM(U44:U44)</f>
        <v>1310314</v>
      </c>
      <c r="V45" s="40">
        <f>SUM(V44:V44)</f>
        <v>154473.4</v>
      </c>
      <c r="W45" s="40">
        <f>SUM(W44:W44)</f>
        <v>26414.951399999998</v>
      </c>
      <c r="X45" s="40">
        <f>SUM(X44:X44)</f>
        <v>46342.01999999999</v>
      </c>
      <c r="Y45" s="41">
        <f>SUM(Y44:Y44)</f>
        <v>30894.680000000004</v>
      </c>
      <c r="Z45" s="42"/>
      <c r="AA45" s="56"/>
      <c r="AB45" s="56"/>
    </row>
    <row r="46" spans="1:32" s="127" customFormat="1">
      <c r="B46" s="122"/>
      <c r="C46" s="123"/>
      <c r="D46" s="123"/>
      <c r="E46" s="122"/>
      <c r="F46" s="124"/>
      <c r="G46" s="124"/>
      <c r="H46" s="124"/>
      <c r="I46" s="124"/>
      <c r="J46" s="124"/>
      <c r="K46" s="124"/>
      <c r="L46" s="124"/>
      <c r="M46" s="124"/>
      <c r="N46" s="124"/>
      <c r="O46" s="124"/>
      <c r="P46" s="124"/>
      <c r="Q46" s="124"/>
      <c r="R46" s="124"/>
      <c r="S46" s="124"/>
      <c r="T46" s="124"/>
      <c r="U46" s="125"/>
      <c r="V46" s="126"/>
      <c r="W46" s="126"/>
      <c r="X46" s="126"/>
      <c r="Y46" s="126"/>
      <c r="Z46" s="131"/>
      <c r="AA46" s="132"/>
      <c r="AB46" s="132"/>
    </row>
    <row r="47" spans="1:32" s="127" customFormat="1">
      <c r="B47" s="122"/>
      <c r="C47" s="123"/>
      <c r="D47" s="123"/>
      <c r="E47" s="122"/>
      <c r="F47" s="124"/>
      <c r="G47" s="124"/>
      <c r="H47" s="124"/>
      <c r="I47" s="124"/>
      <c r="J47" s="124"/>
      <c r="K47" s="124"/>
      <c r="L47" s="124"/>
      <c r="M47" s="124"/>
      <c r="N47" s="124"/>
      <c r="O47" s="124"/>
      <c r="P47" s="124"/>
      <c r="Q47" s="124"/>
      <c r="R47" s="124"/>
      <c r="S47" s="124"/>
      <c r="T47" s="124"/>
      <c r="U47" s="125"/>
      <c r="V47" s="126"/>
      <c r="W47" s="126"/>
      <c r="X47" s="126"/>
      <c r="Y47" s="126"/>
      <c r="Z47" s="131"/>
      <c r="AA47" s="132"/>
      <c r="AB47" s="132"/>
    </row>
    <row r="48" spans="1:32" s="127" customFormat="1">
      <c r="B48" s="122"/>
      <c r="C48" s="123"/>
      <c r="D48" s="123"/>
      <c r="E48" s="122"/>
      <c r="F48" s="124"/>
      <c r="G48" s="124"/>
      <c r="H48" s="124"/>
      <c r="I48" s="124"/>
      <c r="J48" s="124"/>
      <c r="K48" s="124"/>
      <c r="L48" s="124"/>
      <c r="M48" s="124"/>
      <c r="N48" s="124"/>
      <c r="O48" s="124"/>
      <c r="P48" s="124"/>
      <c r="Q48" s="124"/>
      <c r="R48" s="124"/>
      <c r="S48" s="124"/>
      <c r="T48" s="124"/>
      <c r="U48" s="125"/>
      <c r="V48" s="126"/>
      <c r="W48" s="126"/>
      <c r="X48" s="126"/>
      <c r="Y48" s="126"/>
      <c r="Z48" s="131"/>
      <c r="AA48" s="132"/>
      <c r="AB48" s="132"/>
    </row>
    <row r="49" spans="2:28" s="127" customFormat="1">
      <c r="B49" s="122"/>
      <c r="C49" s="123"/>
      <c r="D49" s="123"/>
      <c r="E49" s="122"/>
      <c r="F49" s="124"/>
      <c r="G49" s="124"/>
      <c r="H49" s="124"/>
      <c r="I49" s="124"/>
      <c r="J49" s="124"/>
      <c r="K49" s="124"/>
      <c r="L49" s="124"/>
      <c r="M49" s="124"/>
      <c r="N49" s="124"/>
      <c r="O49" s="124"/>
      <c r="P49" s="124"/>
      <c r="Q49" s="124"/>
      <c r="R49" s="124"/>
      <c r="S49" s="124"/>
      <c r="T49" s="124"/>
      <c r="U49" s="125"/>
      <c r="V49" s="126"/>
      <c r="W49" s="126"/>
      <c r="X49" s="126"/>
      <c r="Y49" s="126"/>
      <c r="Z49" s="131"/>
      <c r="AA49" s="132"/>
      <c r="AB49" s="132"/>
    </row>
    <row r="50" spans="2:28" s="1" customFormat="1">
      <c r="B50" s="4"/>
      <c r="C50" s="5"/>
      <c r="D50" s="5"/>
      <c r="E50" s="5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3"/>
      <c r="V50" s="6"/>
      <c r="W50" s="6"/>
      <c r="X50" s="6"/>
      <c r="Y50" s="6"/>
      <c r="Z50" s="44"/>
      <c r="AA50" s="56"/>
      <c r="AB50" s="56">
        <f>+Z55-AB44</f>
        <v>86406.596822222462</v>
      </c>
    </row>
    <row r="51" spans="2:28" s="1" customFormat="1" ht="14.1" customHeight="1">
      <c r="B51" s="45"/>
      <c r="C51" s="45"/>
      <c r="D51" s="133"/>
      <c r="E51" s="133"/>
      <c r="F51" s="133"/>
      <c r="G51" s="133"/>
      <c r="H51" s="133"/>
      <c r="I51" s="133"/>
      <c r="J51" s="133"/>
      <c r="K51" s="133"/>
      <c r="L51" s="133"/>
      <c r="M51" s="133"/>
      <c r="N51" s="133"/>
      <c r="O51" s="133"/>
      <c r="P51" s="133"/>
      <c r="Q51" s="133"/>
      <c r="R51" s="133"/>
      <c r="S51" s="45"/>
      <c r="T51" s="45"/>
      <c r="U51" s="46"/>
      <c r="V51" s="331" t="s">
        <v>42</v>
      </c>
      <c r="W51" s="331"/>
      <c r="X51" s="331"/>
      <c r="Y51" s="331"/>
      <c r="Z51" s="47">
        <f>F10</f>
        <v>19535</v>
      </c>
      <c r="AA51" s="56"/>
      <c r="AB51" s="56"/>
    </row>
    <row r="52" spans="2:28" s="1" customFormat="1">
      <c r="B52" s="45"/>
      <c r="C52" s="45"/>
      <c r="D52" s="133"/>
      <c r="E52" s="133"/>
      <c r="F52" s="133"/>
      <c r="G52" s="133"/>
      <c r="H52" s="133"/>
      <c r="I52" s="133"/>
      <c r="J52" s="133"/>
      <c r="K52" s="133"/>
      <c r="L52" s="133"/>
      <c r="M52" s="133"/>
      <c r="N52" s="133"/>
      <c r="O52" s="133"/>
      <c r="P52" s="133"/>
      <c r="Q52" s="133"/>
      <c r="R52" s="133"/>
      <c r="S52" s="336"/>
      <c r="T52" s="336"/>
      <c r="U52" s="45"/>
      <c r="V52" s="45"/>
      <c r="W52" s="45"/>
      <c r="X52" s="45"/>
      <c r="Y52" s="45"/>
      <c r="Z52" s="45"/>
      <c r="AA52" s="56"/>
      <c r="AB52" s="56"/>
    </row>
    <row r="53" spans="2:28" s="1" customFormat="1" ht="14.1" customHeight="1">
      <c r="B53" s="45"/>
      <c r="C53" s="45"/>
      <c r="D53" s="133"/>
      <c r="E53" s="133"/>
      <c r="F53" s="133"/>
      <c r="G53" s="133"/>
      <c r="H53" s="133"/>
      <c r="I53" s="133"/>
      <c r="J53" s="133"/>
      <c r="K53" s="133"/>
      <c r="L53" s="133"/>
      <c r="M53" s="133"/>
      <c r="N53" s="133"/>
      <c r="O53" s="133"/>
      <c r="P53" s="133"/>
      <c r="Q53" s="133"/>
      <c r="R53" s="133"/>
      <c r="S53" s="45"/>
      <c r="T53" s="45"/>
      <c r="U53" s="48"/>
      <c r="V53" s="331" t="s">
        <v>43</v>
      </c>
      <c r="W53" s="331"/>
      <c r="X53" s="331"/>
      <c r="Y53" s="331"/>
      <c r="Z53" s="49">
        <f>Z51+Z44</f>
        <v>1548802.4693999998</v>
      </c>
      <c r="AA53" s="56" t="s">
        <v>45</v>
      </c>
      <c r="AB53" s="56"/>
    </row>
    <row r="54" spans="2:28" s="1" customFormat="1">
      <c r="B54" s="45"/>
      <c r="C54" s="45"/>
      <c r="D54" s="133"/>
      <c r="E54" s="133"/>
      <c r="F54" s="133"/>
      <c r="G54" s="133"/>
      <c r="H54" s="133"/>
      <c r="I54" s="133"/>
      <c r="J54" s="133"/>
      <c r="K54" s="133"/>
      <c r="L54" s="133"/>
      <c r="M54" s="133"/>
      <c r="N54" s="133"/>
      <c r="O54" s="133"/>
      <c r="P54" s="133"/>
      <c r="Q54" s="133"/>
      <c r="R54" s="133"/>
      <c r="S54" s="45"/>
      <c r="T54" s="45"/>
      <c r="U54" s="50"/>
      <c r="V54" s="45"/>
      <c r="W54" s="45"/>
      <c r="X54" s="45"/>
      <c r="Y54" s="45"/>
      <c r="Z54" s="45"/>
      <c r="AA54" s="56"/>
      <c r="AB54" s="56"/>
    </row>
    <row r="55" spans="2:28" s="1" customFormat="1" ht="14.1" customHeight="1">
      <c r="B55" s="45"/>
      <c r="C55" s="45"/>
      <c r="D55" s="133"/>
      <c r="E55" s="133"/>
      <c r="F55" s="133"/>
      <c r="G55" s="133"/>
      <c r="H55" s="133"/>
      <c r="I55" s="133"/>
      <c r="J55" s="133"/>
      <c r="K55" s="133"/>
      <c r="L55" s="133"/>
      <c r="M55" s="133"/>
      <c r="N55" s="133"/>
      <c r="O55" s="133"/>
      <c r="P55" s="133"/>
      <c r="Q55" s="133"/>
      <c r="R55" s="133"/>
      <c r="S55" s="45"/>
      <c r="T55" s="45"/>
      <c r="U55" s="51"/>
      <c r="V55" s="331" t="s">
        <v>44</v>
      </c>
      <c r="W55" s="331"/>
      <c r="X55" s="331"/>
      <c r="Y55" s="331"/>
      <c r="Z55" s="52">
        <v>1928507</v>
      </c>
      <c r="AA55" s="56"/>
      <c r="AB55" s="56"/>
    </row>
    <row r="56" spans="2:28" s="1" customFormat="1" ht="14.1" customHeight="1">
      <c r="B56" s="45"/>
      <c r="C56" s="45"/>
      <c r="D56" s="133"/>
      <c r="E56" s="133"/>
      <c r="F56" s="133"/>
      <c r="G56" s="133"/>
      <c r="H56" s="133"/>
      <c r="I56" s="133"/>
      <c r="J56" s="133"/>
      <c r="K56" s="133"/>
      <c r="L56" s="133"/>
      <c r="M56" s="133"/>
      <c r="N56" s="133"/>
      <c r="O56" s="133"/>
      <c r="P56" s="133"/>
      <c r="Q56" s="133"/>
      <c r="R56" s="133"/>
      <c r="S56" s="45"/>
      <c r="T56" s="45"/>
      <c r="U56" s="51"/>
      <c r="V56" s="54"/>
      <c r="W56" s="54"/>
      <c r="X56" s="54"/>
      <c r="Y56" s="54"/>
      <c r="Z56" s="55"/>
      <c r="AA56" s="56"/>
      <c r="AB56" s="56"/>
    </row>
    <row r="57" spans="2:28">
      <c r="V57" s="59" t="s">
        <v>46</v>
      </c>
      <c r="W57" s="59"/>
      <c r="X57" s="59"/>
      <c r="Y57" s="59"/>
      <c r="Z57" s="134">
        <f>+U44</f>
        <v>1310314</v>
      </c>
    </row>
    <row r="58" spans="2:28">
      <c r="V58" t="s">
        <v>47</v>
      </c>
      <c r="Z58" s="53">
        <f>+U10</f>
        <v>234420</v>
      </c>
    </row>
    <row r="59" spans="2:28">
      <c r="V59" t="s">
        <v>48</v>
      </c>
      <c r="Z59" s="53">
        <f>+V44+W44+X44+Y44</f>
        <v>258125.05139999997</v>
      </c>
    </row>
    <row r="60" spans="2:28">
      <c r="V60" t="s">
        <v>49</v>
      </c>
      <c r="Z60" s="53">
        <f>+AA44</f>
        <v>125596.2777777778</v>
      </c>
    </row>
    <row r="61" spans="2:28" ht="14.7" thickBot="1"/>
    <row r="62" spans="2:28" ht="14.7" thickBot="1">
      <c r="Z62" s="58">
        <f>SUM(Z57:Z61)</f>
        <v>1928455.3291777777</v>
      </c>
    </row>
    <row r="64" spans="2:28">
      <c r="Z64" s="53">
        <f>+Z55-Z62</f>
        <v>51.670822222251445</v>
      </c>
    </row>
    <row r="66" spans="22:28">
      <c r="X66" t="s">
        <v>188</v>
      </c>
      <c r="Y66" t="s">
        <v>189</v>
      </c>
    </row>
    <row r="67" spans="22:28">
      <c r="X67" s="156" t="s">
        <v>178</v>
      </c>
      <c r="Y67" s="156" t="s">
        <v>179</v>
      </c>
      <c r="Z67" s="156" t="s">
        <v>190</v>
      </c>
    </row>
    <row r="68" spans="22:28">
      <c r="V68" s="158" t="s">
        <v>180</v>
      </c>
      <c r="X68" s="157">
        <f>AA10</f>
        <v>19535</v>
      </c>
      <c r="Y68" s="157">
        <v>0</v>
      </c>
      <c r="Z68" s="157">
        <f>X68+Y68</f>
        <v>19535</v>
      </c>
    </row>
    <row r="69" spans="22:28">
      <c r="V69" s="158" t="s">
        <v>181</v>
      </c>
      <c r="X69" s="157">
        <v>0</v>
      </c>
      <c r="Y69" s="157">
        <v>0</v>
      </c>
      <c r="Z69" s="157">
        <f t="shared" ref="Z69:Z76" si="10">X69+Y69</f>
        <v>0</v>
      </c>
    </row>
    <row r="70" spans="22:28">
      <c r="V70" s="158" t="s">
        <v>182</v>
      </c>
      <c r="X70" s="157">
        <f>U10</f>
        <v>234420</v>
      </c>
      <c r="Y70" s="157">
        <v>0</v>
      </c>
      <c r="Z70" s="157">
        <f t="shared" si="10"/>
        <v>234420</v>
      </c>
    </row>
    <row r="71" spans="22:28">
      <c r="V71" s="158" t="s">
        <v>183</v>
      </c>
      <c r="X71" s="157">
        <v>0</v>
      </c>
      <c r="Y71" s="157">
        <f>U12+U13+U14+U16+U18+U19+U20+U21+U22+U24+U25+U26+U27+U28+U29+U31+U32+U33+U34+U36+U37+U38+U40+U41+U42</f>
        <v>1310314</v>
      </c>
      <c r="Z71" s="157">
        <f t="shared" si="10"/>
        <v>1310314</v>
      </c>
    </row>
    <row r="72" spans="22:28">
      <c r="V72" s="158" t="s">
        <v>184</v>
      </c>
      <c r="X72" s="157">
        <f>V10</f>
        <v>23442</v>
      </c>
      <c r="Y72" s="157">
        <f>V12+V13+V14+V16+V18+V19+V20+V21+V22+V24+V25+V26+V27+V28+V29+V31+V32+V33+V34+V36+V37+V38+V40+V41+V42</f>
        <v>131031.40000000002</v>
      </c>
      <c r="Z72" s="157">
        <f t="shared" si="10"/>
        <v>154473.40000000002</v>
      </c>
    </row>
    <row r="73" spans="22:28">
      <c r="V73" s="158" t="s">
        <v>185</v>
      </c>
      <c r="X73" s="157">
        <f>W10</f>
        <v>4008.5820000000003</v>
      </c>
      <c r="Y73" s="157">
        <f>W12+W13+W14+W16+W18+W19+W20+W21+W22+W24+W25+W26+W27+W28+W29+W31+W32+W33+W34+W36+W37+W38+W40+W41+W42</f>
        <v>22406.3694</v>
      </c>
      <c r="Z73" s="157">
        <f t="shared" si="10"/>
        <v>26414.951399999998</v>
      </c>
    </row>
    <row r="74" spans="22:28">
      <c r="V74" s="158" t="s">
        <v>186</v>
      </c>
      <c r="X74" s="157">
        <f>X10</f>
        <v>7032.5999999999995</v>
      </c>
      <c r="Y74" s="157">
        <f>X12+X13+X14+X16+X18+X19+X20+X21+X22+X24+X25+X26+X27+X28+X29+X31+X32+X33+X34+X36+X37+X38+X40+X41+X42</f>
        <v>39309.419999999991</v>
      </c>
      <c r="Z74" s="157">
        <f t="shared" si="10"/>
        <v>46342.01999999999</v>
      </c>
    </row>
    <row r="75" spans="22:28">
      <c r="V75" s="158" t="s">
        <v>187</v>
      </c>
      <c r="X75" s="157">
        <f>Y10</f>
        <v>4688.4000000000005</v>
      </c>
      <c r="Y75" s="157">
        <f>Y12+Y13+Y14+Y16+Y18+Y19+Y20+Y21+Y22+Y24+Y25+Y26+Y27+Y28+Y29+Y31+Y32+Y33+Y34+Y36+Y37+Y38+Y40+Y41+Y42</f>
        <v>26206.280000000006</v>
      </c>
      <c r="Z75" s="157">
        <f t="shared" si="10"/>
        <v>30894.680000000008</v>
      </c>
    </row>
    <row r="76" spans="22:28">
      <c r="V76" s="158" t="s">
        <v>191</v>
      </c>
      <c r="X76" s="157"/>
      <c r="Y76" s="157">
        <f>AA12+AA13+AA14+AA16+AA18+AA19+AA20+AA21+AA22+AA24+AA25+AA27+AA26+AA28+AA29+AA31+AA32+AA33+AA34+AA36+AA37+AA38+AA40+AA41+AA42</f>
        <v>106061.2777777778</v>
      </c>
      <c r="Z76" s="157">
        <f t="shared" si="10"/>
        <v>106061.2777777778</v>
      </c>
    </row>
    <row r="77" spans="22:28">
      <c r="X77" s="157">
        <f>SUM(X68:X76)</f>
        <v>293126.58199999999</v>
      </c>
      <c r="Y77" s="157">
        <f>SUM(Y68:Y76)</f>
        <v>1635328.7471777776</v>
      </c>
      <c r="Z77" s="157">
        <f>SUM(Z68:Z76)</f>
        <v>1928455.3291777775</v>
      </c>
      <c r="AA77" s="53">
        <v>1928507</v>
      </c>
      <c r="AB77" s="53">
        <f>Z77-AA77</f>
        <v>-51.670822222484276</v>
      </c>
    </row>
    <row r="80" spans="22:28">
      <c r="X80" s="156"/>
      <c r="Y80" s="156"/>
      <c r="Z80" s="156"/>
    </row>
    <row r="81" spans="22:26">
      <c r="V81" s="158"/>
      <c r="X81" s="157"/>
      <c r="Y81" s="157"/>
      <c r="Z81" s="157"/>
    </row>
    <row r="82" spans="22:26">
      <c r="V82" s="158"/>
      <c r="X82" s="157"/>
      <c r="Y82" s="157"/>
      <c r="Z82" s="157"/>
    </row>
    <row r="83" spans="22:26">
      <c r="V83" s="158"/>
      <c r="X83" s="157"/>
      <c r="Y83" s="157"/>
      <c r="Z83" s="157"/>
    </row>
    <row r="84" spans="22:26">
      <c r="V84" s="158"/>
      <c r="X84" s="157"/>
      <c r="Y84" s="157"/>
      <c r="Z84" s="157"/>
    </row>
    <row r="85" spans="22:26">
      <c r="V85" s="158"/>
      <c r="X85" s="157"/>
      <c r="Y85" s="157"/>
      <c r="Z85" s="157"/>
    </row>
    <row r="86" spans="22:26">
      <c r="V86" s="158"/>
      <c r="X86" s="157"/>
      <c r="Y86" s="157"/>
      <c r="Z86" s="157"/>
    </row>
    <row r="87" spans="22:26">
      <c r="V87" s="158"/>
      <c r="X87" s="157"/>
      <c r="Y87" s="157"/>
      <c r="Z87" s="157"/>
    </row>
    <row r="88" spans="22:26">
      <c r="V88" s="158"/>
      <c r="X88" s="157"/>
      <c r="Y88" s="157"/>
      <c r="Z88" s="157"/>
    </row>
    <row r="89" spans="22:26">
      <c r="V89" s="158"/>
      <c r="X89" s="157"/>
      <c r="Y89" s="157"/>
      <c r="Z89" s="157"/>
    </row>
    <row r="90" spans="22:26">
      <c r="X90" s="157"/>
      <c r="Y90" s="157"/>
      <c r="Z90" s="157"/>
    </row>
  </sheetData>
  <mergeCells count="18">
    <mergeCell ref="AA5:AA6"/>
    <mergeCell ref="V51:Y51"/>
    <mergeCell ref="S52:T52"/>
    <mergeCell ref="B2:Z2"/>
    <mergeCell ref="V4:Y4"/>
    <mergeCell ref="B5:B6"/>
    <mergeCell ref="C5:C6"/>
    <mergeCell ref="D5:D6"/>
    <mergeCell ref="E5:E6"/>
    <mergeCell ref="F5:F6"/>
    <mergeCell ref="G5:R5"/>
    <mergeCell ref="S5:S6"/>
    <mergeCell ref="T5:T6"/>
    <mergeCell ref="V53:Y53"/>
    <mergeCell ref="V55:Y55"/>
    <mergeCell ref="U5:U6"/>
    <mergeCell ref="V5:Y5"/>
    <mergeCell ref="Z5:Z6"/>
  </mergeCells>
  <pageMargins left="0.51181102362204722" right="0.11811023622047245" top="0.35433070866141736" bottom="0.55118110236220474" header="0.31496062992125984" footer="0.31496062992125984"/>
  <pageSetup scale="60" orientation="landscape" verticalDpi="0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F90"/>
  <sheetViews>
    <sheetView workbookViewId="0"/>
  </sheetViews>
  <sheetFormatPr baseColWidth="10" defaultRowHeight="14.4"/>
  <cols>
    <col min="1" max="1" width="4.89453125" customWidth="1"/>
    <col min="2" max="2" width="30.41796875" customWidth="1"/>
    <col min="3" max="3" width="5.41796875" customWidth="1"/>
    <col min="4" max="5" width="7.41796875" customWidth="1"/>
    <col min="6" max="6" width="9.5234375" customWidth="1"/>
    <col min="7" max="8" width="4.89453125" customWidth="1"/>
    <col min="9" max="18" width="4.5234375" customWidth="1"/>
    <col min="19" max="20" width="7.5234375" customWidth="1"/>
    <col min="21" max="21" width="14" customWidth="1"/>
    <col min="22" max="22" width="13.41796875" customWidth="1"/>
    <col min="23" max="23" width="11.5234375" customWidth="1"/>
    <col min="24" max="24" width="11.68359375" customWidth="1"/>
    <col min="25" max="25" width="12.41796875" customWidth="1"/>
    <col min="26" max="26" width="16" customWidth="1"/>
    <col min="27" max="27" width="17.3125" style="53" customWidth="1"/>
    <col min="28" max="28" width="15.5234375" style="53" customWidth="1"/>
  </cols>
  <sheetData>
    <row r="2" spans="1:28" s="1" customFormat="1" ht="51" customHeight="1">
      <c r="B2" s="337" t="s">
        <v>166</v>
      </c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337"/>
      <c r="P2" s="337"/>
      <c r="Q2" s="337"/>
      <c r="R2" s="337"/>
      <c r="S2" s="337"/>
      <c r="T2" s="337"/>
      <c r="U2" s="337"/>
      <c r="V2" s="337"/>
      <c r="W2" s="337"/>
      <c r="X2" s="337"/>
      <c r="Y2" s="337"/>
      <c r="Z2" s="337"/>
      <c r="AA2" s="56"/>
      <c r="AB2" s="56"/>
    </row>
    <row r="3" spans="1:28" s="1" customFormat="1">
      <c r="B3" s="2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AA3" s="56"/>
      <c r="AB3" s="56"/>
    </row>
    <row r="4" spans="1:28" s="1" customFormat="1">
      <c r="B4" s="4"/>
      <c r="C4" s="5"/>
      <c r="D4" s="5"/>
      <c r="E4" s="5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6"/>
      <c r="V4" s="338"/>
      <c r="W4" s="338"/>
      <c r="X4" s="338"/>
      <c r="Y4" s="338"/>
      <c r="AA4" s="56"/>
      <c r="AB4" s="56"/>
    </row>
    <row r="5" spans="1:28" s="1" customFormat="1" ht="13.35" customHeight="1">
      <c r="B5" s="332" t="s">
        <v>1</v>
      </c>
      <c r="C5" s="332" t="s">
        <v>2</v>
      </c>
      <c r="D5" s="339" t="s">
        <v>3</v>
      </c>
      <c r="E5" s="333" t="s">
        <v>4</v>
      </c>
      <c r="F5" s="332" t="s">
        <v>5</v>
      </c>
      <c r="G5" s="341" t="s">
        <v>6</v>
      </c>
      <c r="H5" s="342"/>
      <c r="I5" s="342"/>
      <c r="J5" s="342"/>
      <c r="K5" s="342"/>
      <c r="L5" s="342"/>
      <c r="M5" s="342"/>
      <c r="N5" s="342"/>
      <c r="O5" s="342"/>
      <c r="P5" s="342"/>
      <c r="Q5" s="342"/>
      <c r="R5" s="343"/>
      <c r="S5" s="332" t="s">
        <v>7</v>
      </c>
      <c r="T5" s="339" t="s">
        <v>8</v>
      </c>
      <c r="U5" s="332" t="s">
        <v>9</v>
      </c>
      <c r="V5" s="333" t="s">
        <v>10</v>
      </c>
      <c r="W5" s="333"/>
      <c r="X5" s="333"/>
      <c r="Y5" s="333"/>
      <c r="Z5" s="334" t="s">
        <v>50</v>
      </c>
      <c r="AA5" s="335" t="s">
        <v>51</v>
      </c>
      <c r="AB5" s="56"/>
    </row>
    <row r="6" spans="1:28" s="1" customFormat="1" ht="24.75" customHeight="1">
      <c r="B6" s="332"/>
      <c r="C6" s="332"/>
      <c r="D6" s="340"/>
      <c r="E6" s="333"/>
      <c r="F6" s="332"/>
      <c r="G6" s="135" t="s">
        <v>11</v>
      </c>
      <c r="H6" s="136" t="s">
        <v>12</v>
      </c>
      <c r="I6" s="136" t="s">
        <v>13</v>
      </c>
      <c r="J6" s="136" t="s">
        <v>14</v>
      </c>
      <c r="K6" s="136" t="s">
        <v>15</v>
      </c>
      <c r="L6" s="136" t="s">
        <v>16</v>
      </c>
      <c r="M6" s="136" t="s">
        <v>17</v>
      </c>
      <c r="N6" s="136" t="s">
        <v>18</v>
      </c>
      <c r="O6" s="136" t="s">
        <v>19</v>
      </c>
      <c r="P6" s="136" t="s">
        <v>20</v>
      </c>
      <c r="Q6" s="136" t="s">
        <v>21</v>
      </c>
      <c r="R6" s="136" t="s">
        <v>22</v>
      </c>
      <c r="S6" s="332"/>
      <c r="T6" s="340"/>
      <c r="U6" s="332"/>
      <c r="V6" s="137" t="s">
        <v>23</v>
      </c>
      <c r="W6" s="138" t="s">
        <v>24</v>
      </c>
      <c r="X6" s="138" t="s">
        <v>25</v>
      </c>
      <c r="Y6" s="138" t="s">
        <v>26</v>
      </c>
      <c r="Z6" s="334"/>
      <c r="AA6" s="335"/>
      <c r="AB6" s="56"/>
    </row>
    <row r="7" spans="1:28" s="1" customFormat="1">
      <c r="B7" s="4"/>
      <c r="C7" s="5"/>
      <c r="D7" s="5"/>
      <c r="E7" s="5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6"/>
      <c r="V7" s="6"/>
      <c r="W7" s="6"/>
      <c r="X7" s="6"/>
      <c r="Y7" s="6"/>
      <c r="Z7" s="8"/>
      <c r="AA7" s="56"/>
      <c r="AB7" s="56"/>
    </row>
    <row r="8" spans="1:28" s="1" customFormat="1">
      <c r="B8" s="139" t="s">
        <v>27</v>
      </c>
      <c r="C8" s="140"/>
      <c r="D8" s="140"/>
      <c r="E8" s="140"/>
      <c r="F8" s="141"/>
      <c r="G8" s="141"/>
      <c r="H8" s="141"/>
      <c r="I8" s="141"/>
      <c r="J8" s="141"/>
      <c r="K8" s="141"/>
      <c r="L8" s="141"/>
      <c r="M8" s="141"/>
      <c r="N8" s="141"/>
      <c r="O8" s="141"/>
      <c r="P8" s="141"/>
      <c r="Q8" s="141"/>
      <c r="R8" s="141"/>
      <c r="S8" s="141"/>
      <c r="T8" s="141"/>
      <c r="U8" s="141"/>
      <c r="V8" s="141"/>
      <c r="W8" s="141"/>
      <c r="X8" s="141"/>
      <c r="Y8" s="141"/>
      <c r="Z8" s="142"/>
      <c r="AA8" s="56"/>
      <c r="AB8" s="56"/>
    </row>
    <row r="9" spans="1:28" s="1" customFormat="1">
      <c r="B9" s="9"/>
      <c r="C9" s="10"/>
      <c r="D9" s="10"/>
      <c r="E9" s="10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2"/>
      <c r="AA9" s="56"/>
      <c r="AB9" s="56"/>
    </row>
    <row r="10" spans="1:28" s="1" customFormat="1">
      <c r="A10" s="1">
        <v>1</v>
      </c>
      <c r="B10" s="13" t="s">
        <v>28</v>
      </c>
      <c r="C10" s="14" t="s">
        <v>29</v>
      </c>
      <c r="D10" s="14">
        <v>2022</v>
      </c>
      <c r="E10" s="15" t="s">
        <v>30</v>
      </c>
      <c r="F10" s="16">
        <v>18987</v>
      </c>
      <c r="G10" s="17">
        <v>30</v>
      </c>
      <c r="H10" s="17">
        <v>30</v>
      </c>
      <c r="I10" s="17">
        <v>30</v>
      </c>
      <c r="J10" s="17">
        <v>30</v>
      </c>
      <c r="K10" s="17">
        <v>30</v>
      </c>
      <c r="L10" s="17">
        <v>30</v>
      </c>
      <c r="M10" s="17">
        <v>30</v>
      </c>
      <c r="N10" s="17">
        <v>30</v>
      </c>
      <c r="O10" s="17">
        <v>30</v>
      </c>
      <c r="P10" s="17">
        <v>30</v>
      </c>
      <c r="Q10" s="17">
        <v>30</v>
      </c>
      <c r="R10" s="17">
        <v>30</v>
      </c>
      <c r="S10" s="15">
        <f>SUM(G10:R10)</f>
        <v>360</v>
      </c>
      <c r="T10" s="18">
        <f>+S10/30</f>
        <v>12</v>
      </c>
      <c r="U10" s="16">
        <f>ROUND(PRODUCT(F10*T10),0)</f>
        <v>227844</v>
      </c>
      <c r="V10" s="16">
        <f>U10*0.1</f>
        <v>22784.400000000001</v>
      </c>
      <c r="W10" s="16">
        <f>U10*0.0171</f>
        <v>3896.1324</v>
      </c>
      <c r="X10" s="16">
        <f>U10*0.03</f>
        <v>6835.32</v>
      </c>
      <c r="Y10" s="19">
        <f>U10*0.02</f>
        <v>4556.88</v>
      </c>
      <c r="Z10" s="17">
        <f>SUM(U10:Y10)</f>
        <v>265916.73239999998</v>
      </c>
      <c r="AA10" s="56">
        <f>+F10*S10/360</f>
        <v>18987</v>
      </c>
      <c r="AB10" s="56">
        <f>+AA10+Z10</f>
        <v>284903.73239999998</v>
      </c>
    </row>
    <row r="11" spans="1:28" s="1" customFormat="1">
      <c r="B11" s="143" t="s">
        <v>31</v>
      </c>
      <c r="C11" s="144"/>
      <c r="D11" s="144"/>
      <c r="E11" s="145"/>
      <c r="F11" s="146"/>
      <c r="G11" s="146"/>
      <c r="H11" s="146"/>
      <c r="I11" s="146"/>
      <c r="J11" s="146"/>
      <c r="K11" s="146"/>
      <c r="L11" s="146"/>
      <c r="M11" s="146"/>
      <c r="N11" s="146"/>
      <c r="O11" s="146"/>
      <c r="P11" s="146"/>
      <c r="Q11" s="146"/>
      <c r="R11" s="146"/>
      <c r="S11" s="145"/>
      <c r="T11" s="147"/>
      <c r="U11" s="148"/>
      <c r="V11" s="149"/>
      <c r="W11" s="149"/>
      <c r="X11" s="149"/>
      <c r="Y11" s="150"/>
      <c r="Z11" s="149"/>
      <c r="AA11" s="56"/>
      <c r="AB11" s="56">
        <f t="shared" ref="AB11:AB43" si="0">+AA11+Z11</f>
        <v>0</v>
      </c>
    </row>
    <row r="12" spans="1:28" s="1" customFormat="1" ht="20.399999999999999">
      <c r="A12" s="1">
        <f>A10+1</f>
        <v>2</v>
      </c>
      <c r="B12" s="13" t="s">
        <v>192</v>
      </c>
      <c r="C12" s="14" t="s">
        <v>32</v>
      </c>
      <c r="D12" s="14">
        <v>2022</v>
      </c>
      <c r="E12" s="15" t="s">
        <v>30</v>
      </c>
      <c r="F12" s="16">
        <v>10173</v>
      </c>
      <c r="G12" s="17">
        <v>26</v>
      </c>
      <c r="H12" s="17">
        <v>30</v>
      </c>
      <c r="I12" s="17">
        <v>30</v>
      </c>
      <c r="J12" s="17">
        <v>30</v>
      </c>
      <c r="K12" s="17">
        <v>30</v>
      </c>
      <c r="L12" s="17">
        <v>30</v>
      </c>
      <c r="M12" s="17">
        <v>30</v>
      </c>
      <c r="N12" s="17">
        <v>30</v>
      </c>
      <c r="O12" s="17">
        <v>30</v>
      </c>
      <c r="P12" s="17">
        <v>30</v>
      </c>
      <c r="Q12" s="17">
        <v>30</v>
      </c>
      <c r="R12" s="17">
        <v>30</v>
      </c>
      <c r="S12" s="15">
        <f>SUM(G12:R12)</f>
        <v>356</v>
      </c>
      <c r="T12" s="18">
        <f t="shared" ref="T12:T29" si="1">+S12/30</f>
        <v>11.866666666666667</v>
      </c>
      <c r="U12" s="16">
        <f>ROUND(PRODUCT(F12*T12),0)</f>
        <v>120720</v>
      </c>
      <c r="V12" s="17">
        <f>U12*0.1</f>
        <v>12072</v>
      </c>
      <c r="W12" s="17">
        <f>U12*0.0171</f>
        <v>2064.3119999999999</v>
      </c>
      <c r="X12" s="17">
        <f>U12*0.03</f>
        <v>3621.6</v>
      </c>
      <c r="Y12" s="19">
        <f>U12*0.02</f>
        <v>2414.4</v>
      </c>
      <c r="Z12" s="17">
        <f>SUM(U12:Y12)</f>
        <v>140892.31200000001</v>
      </c>
      <c r="AA12" s="56">
        <f>+F12*S12/360</f>
        <v>10059.966666666667</v>
      </c>
      <c r="AB12" s="56">
        <f t="shared" si="0"/>
        <v>150952.27866666668</v>
      </c>
    </row>
    <row r="13" spans="1:28" s="1" customFormat="1" ht="30.75" customHeight="1">
      <c r="A13" s="1">
        <f>A12+1</f>
        <v>3</v>
      </c>
      <c r="B13" s="13" t="s">
        <v>193</v>
      </c>
      <c r="C13" s="14" t="s">
        <v>32</v>
      </c>
      <c r="D13" s="14">
        <v>2022</v>
      </c>
      <c r="E13" s="15" t="s">
        <v>30</v>
      </c>
      <c r="F13" s="16">
        <v>4529</v>
      </c>
      <c r="G13" s="17">
        <v>0</v>
      </c>
      <c r="H13" s="17">
        <v>30</v>
      </c>
      <c r="I13" s="17">
        <v>30</v>
      </c>
      <c r="J13" s="17">
        <v>30</v>
      </c>
      <c r="K13" s="17">
        <v>30</v>
      </c>
      <c r="L13" s="17">
        <v>30</v>
      </c>
      <c r="M13" s="17">
        <v>30</v>
      </c>
      <c r="N13" s="17">
        <v>30</v>
      </c>
      <c r="O13" s="17">
        <v>30</v>
      </c>
      <c r="P13" s="17">
        <v>30</v>
      </c>
      <c r="Q13" s="17">
        <v>30</v>
      </c>
      <c r="R13" s="17">
        <v>30</v>
      </c>
      <c r="S13" s="15">
        <f t="shared" ref="S13:S42" si="2">SUM(G13:R13)</f>
        <v>330</v>
      </c>
      <c r="T13" s="18">
        <f t="shared" si="1"/>
        <v>11</v>
      </c>
      <c r="U13" s="16">
        <f>ROUND(PRODUCT(F13*T13),0)</f>
        <v>49819</v>
      </c>
      <c r="V13" s="17">
        <f>U13*0.1</f>
        <v>4981.9000000000005</v>
      </c>
      <c r="W13" s="17">
        <f>U13*0.0171</f>
        <v>851.9049</v>
      </c>
      <c r="X13" s="17">
        <f>U13*0.03</f>
        <v>1494.57</v>
      </c>
      <c r="Y13" s="19">
        <f>U13*0.02</f>
        <v>996.38</v>
      </c>
      <c r="Z13" s="17">
        <f>SUM(U13:Y13)</f>
        <v>58143.7549</v>
      </c>
      <c r="AA13" s="56">
        <f>+F13*S13/360</f>
        <v>4151.583333333333</v>
      </c>
      <c r="AB13" s="56">
        <f t="shared" si="0"/>
        <v>62295.338233333336</v>
      </c>
    </row>
    <row r="14" spans="1:28" s="1" customFormat="1">
      <c r="A14" s="1">
        <f>A13+1</f>
        <v>4</v>
      </c>
      <c r="B14" s="13" t="s">
        <v>195</v>
      </c>
      <c r="C14" s="27" t="s">
        <v>32</v>
      </c>
      <c r="D14" s="14">
        <v>2022</v>
      </c>
      <c r="E14" s="28" t="s">
        <v>30</v>
      </c>
      <c r="F14" s="29">
        <v>5494</v>
      </c>
      <c r="G14" s="30">
        <v>0</v>
      </c>
      <c r="H14" s="30">
        <v>0</v>
      </c>
      <c r="I14" s="30"/>
      <c r="J14" s="30"/>
      <c r="K14" s="30">
        <v>30</v>
      </c>
      <c r="L14" s="30">
        <v>30</v>
      </c>
      <c r="M14" s="30">
        <v>30</v>
      </c>
      <c r="N14" s="30">
        <v>30</v>
      </c>
      <c r="O14" s="30">
        <v>30</v>
      </c>
      <c r="P14" s="30">
        <v>30</v>
      </c>
      <c r="Q14" s="30">
        <v>30</v>
      </c>
      <c r="R14" s="30">
        <v>20</v>
      </c>
      <c r="S14" s="15">
        <f t="shared" si="2"/>
        <v>230</v>
      </c>
      <c r="T14" s="18">
        <f t="shared" si="1"/>
        <v>7.666666666666667</v>
      </c>
      <c r="U14" s="16">
        <f>ROUND(PRODUCT(F14*T14),0)</f>
        <v>42121</v>
      </c>
      <c r="V14" s="17">
        <f>U14*0.1</f>
        <v>4212.1000000000004</v>
      </c>
      <c r="W14" s="17">
        <f>U14*0.0171</f>
        <v>720.26909999999998</v>
      </c>
      <c r="X14" s="17">
        <f>U14*0.03</f>
        <v>1263.6299999999999</v>
      </c>
      <c r="Y14" s="19">
        <f>U14*0.02</f>
        <v>842.42000000000007</v>
      </c>
      <c r="Z14" s="17">
        <f>SUM(U14:Y14)</f>
        <v>49159.419099999992</v>
      </c>
      <c r="AA14" s="56">
        <f>+F14*S14/360</f>
        <v>3510.0555555555557</v>
      </c>
      <c r="AB14" s="56">
        <f t="shared" si="0"/>
        <v>52669.474655555547</v>
      </c>
    </row>
    <row r="15" spans="1:28" s="1" customFormat="1">
      <c r="B15" s="151" t="s">
        <v>34</v>
      </c>
      <c r="C15" s="152"/>
      <c r="D15" s="152"/>
      <c r="E15" s="152"/>
      <c r="F15" s="152"/>
      <c r="G15" s="152"/>
      <c r="H15" s="152"/>
      <c r="I15" s="152"/>
      <c r="J15" s="152"/>
      <c r="K15" s="152"/>
      <c r="L15" s="152"/>
      <c r="M15" s="152"/>
      <c r="N15" s="152"/>
      <c r="O15" s="152"/>
      <c r="P15" s="152"/>
      <c r="Q15" s="152"/>
      <c r="R15" s="152"/>
      <c r="S15" s="152"/>
      <c r="T15" s="147"/>
      <c r="U15" s="148"/>
      <c r="V15" s="152"/>
      <c r="W15" s="152"/>
      <c r="X15" s="152"/>
      <c r="Y15" s="152"/>
      <c r="Z15" s="149"/>
      <c r="AA15" s="56"/>
      <c r="AB15" s="56">
        <f t="shared" si="0"/>
        <v>0</v>
      </c>
    </row>
    <row r="16" spans="1:28" s="1" customFormat="1">
      <c r="A16" s="1">
        <f>A14+1</f>
        <v>5</v>
      </c>
      <c r="B16" s="13" t="s">
        <v>196</v>
      </c>
      <c r="C16" s="14" t="s">
        <v>32</v>
      </c>
      <c r="D16" s="14">
        <v>2022</v>
      </c>
      <c r="E16" s="15" t="s">
        <v>30</v>
      </c>
      <c r="F16" s="29">
        <v>7722</v>
      </c>
      <c r="G16" s="17">
        <v>26</v>
      </c>
      <c r="H16" s="17">
        <v>30</v>
      </c>
      <c r="I16" s="17">
        <v>30</v>
      </c>
      <c r="J16" s="17">
        <v>0</v>
      </c>
      <c r="K16" s="17">
        <v>0</v>
      </c>
      <c r="L16" s="17">
        <v>0</v>
      </c>
      <c r="M16" s="17">
        <v>0</v>
      </c>
      <c r="N16" s="17">
        <v>0</v>
      </c>
      <c r="O16" s="17">
        <v>0</v>
      </c>
      <c r="P16" s="17">
        <v>0</v>
      </c>
      <c r="Q16" s="17">
        <v>30</v>
      </c>
      <c r="R16" s="17">
        <v>30</v>
      </c>
      <c r="S16" s="15">
        <f t="shared" si="2"/>
        <v>146</v>
      </c>
      <c r="T16" s="18">
        <f t="shared" si="1"/>
        <v>4.8666666666666663</v>
      </c>
      <c r="U16" s="16">
        <f>ROUND(PRODUCT(F16*T16),0)</f>
        <v>37580</v>
      </c>
      <c r="V16" s="17">
        <f>U16*0.1</f>
        <v>3758</v>
      </c>
      <c r="W16" s="17">
        <f>U16*0.0171</f>
        <v>642.61800000000005</v>
      </c>
      <c r="X16" s="17">
        <f>U16*0.03</f>
        <v>1127.3999999999999</v>
      </c>
      <c r="Y16" s="19">
        <f>U16*0.02</f>
        <v>751.6</v>
      </c>
      <c r="Z16" s="17">
        <f>SUM(U16:Y16)</f>
        <v>43859.618000000002</v>
      </c>
      <c r="AA16" s="56"/>
      <c r="AB16" s="56">
        <f t="shared" si="0"/>
        <v>43859.618000000002</v>
      </c>
    </row>
    <row r="17" spans="1:32" s="1" customFormat="1" ht="21">
      <c r="B17" s="143" t="s">
        <v>167</v>
      </c>
      <c r="C17" s="144"/>
      <c r="D17" s="144"/>
      <c r="E17" s="145"/>
      <c r="F17" s="146"/>
      <c r="G17" s="149"/>
      <c r="H17" s="149"/>
      <c r="I17" s="149"/>
      <c r="J17" s="149"/>
      <c r="K17" s="149"/>
      <c r="L17" s="149"/>
      <c r="M17" s="149"/>
      <c r="N17" s="149"/>
      <c r="O17" s="149"/>
      <c r="P17" s="149"/>
      <c r="Q17" s="149"/>
      <c r="R17" s="149"/>
      <c r="S17" s="145"/>
      <c r="T17" s="147"/>
      <c r="U17" s="146"/>
      <c r="V17" s="149"/>
      <c r="W17" s="149"/>
      <c r="X17" s="149"/>
      <c r="Y17" s="150"/>
      <c r="Z17" s="149"/>
      <c r="AA17" s="56"/>
      <c r="AB17" s="56"/>
    </row>
    <row r="18" spans="1:32" s="1" customFormat="1" ht="26.25" customHeight="1">
      <c r="A18" s="1">
        <f>A16+1</f>
        <v>6</v>
      </c>
      <c r="B18" s="13" t="s">
        <v>194</v>
      </c>
      <c r="C18" s="14" t="s">
        <v>32</v>
      </c>
      <c r="D18" s="14">
        <v>2022</v>
      </c>
      <c r="E18" s="15" t="s">
        <v>30</v>
      </c>
      <c r="F18" s="16">
        <v>10173</v>
      </c>
      <c r="G18" s="17">
        <v>26</v>
      </c>
      <c r="H18" s="17">
        <v>30</v>
      </c>
      <c r="I18" s="17">
        <v>30</v>
      </c>
      <c r="J18" s="17">
        <v>30</v>
      </c>
      <c r="K18" s="17">
        <v>30</v>
      </c>
      <c r="L18" s="17">
        <v>30</v>
      </c>
      <c r="M18" s="17">
        <v>30</v>
      </c>
      <c r="N18" s="17">
        <v>30</v>
      </c>
      <c r="O18" s="17">
        <v>30</v>
      </c>
      <c r="P18" s="17">
        <v>30</v>
      </c>
      <c r="Q18" s="17">
        <v>30</v>
      </c>
      <c r="R18" s="17">
        <v>30</v>
      </c>
      <c r="S18" s="15">
        <f t="shared" si="2"/>
        <v>356</v>
      </c>
      <c r="T18" s="18">
        <f>+S18/30</f>
        <v>11.866666666666667</v>
      </c>
      <c r="U18" s="16">
        <f>ROUND(PRODUCT(F18*T18),0)</f>
        <v>120720</v>
      </c>
      <c r="V18" s="17">
        <f>U18*0.1</f>
        <v>12072</v>
      </c>
      <c r="W18" s="17">
        <f>U18*0.0171</f>
        <v>2064.3119999999999</v>
      </c>
      <c r="X18" s="17">
        <f>U18*0.03</f>
        <v>3621.6</v>
      </c>
      <c r="Y18" s="19">
        <f>U18*0.02</f>
        <v>2414.4</v>
      </c>
      <c r="Z18" s="17">
        <f>SUM(U18:Y18)</f>
        <v>140892.31200000001</v>
      </c>
      <c r="AA18" s="56">
        <f>+F18*S18/360</f>
        <v>10059.966666666667</v>
      </c>
      <c r="AB18" s="56">
        <f>+AA18+Z18</f>
        <v>150952.27866666668</v>
      </c>
    </row>
    <row r="19" spans="1:32" s="1" customFormat="1" ht="26.25" customHeight="1">
      <c r="A19" s="1">
        <f>A18+1</f>
        <v>7</v>
      </c>
      <c r="B19" s="13" t="s">
        <v>197</v>
      </c>
      <c r="C19" s="14" t="s">
        <v>32</v>
      </c>
      <c r="D19" s="14">
        <v>2022</v>
      </c>
      <c r="E19" s="15" t="s">
        <v>30</v>
      </c>
      <c r="F19" s="16">
        <v>6906</v>
      </c>
      <c r="G19" s="17">
        <v>0</v>
      </c>
      <c r="H19" s="17">
        <v>0</v>
      </c>
      <c r="I19" s="17">
        <v>0</v>
      </c>
      <c r="J19" s="17">
        <v>0</v>
      </c>
      <c r="K19" s="17">
        <v>0</v>
      </c>
      <c r="L19" s="17">
        <v>0</v>
      </c>
      <c r="M19" s="17">
        <v>30</v>
      </c>
      <c r="N19" s="17">
        <v>30</v>
      </c>
      <c r="O19" s="17">
        <v>30</v>
      </c>
      <c r="P19" s="17">
        <v>30</v>
      </c>
      <c r="Q19" s="17">
        <v>30</v>
      </c>
      <c r="R19" s="17">
        <v>30</v>
      </c>
      <c r="S19" s="15">
        <f t="shared" si="2"/>
        <v>180</v>
      </c>
      <c r="T19" s="18">
        <f>+S19/30</f>
        <v>6</v>
      </c>
      <c r="U19" s="16">
        <f>ROUND(PRODUCT(F19*T19),0)</f>
        <v>41436</v>
      </c>
      <c r="V19" s="17">
        <f>U19*0.1</f>
        <v>4143.6000000000004</v>
      </c>
      <c r="W19" s="17">
        <f>U19*0.0171</f>
        <v>708.55560000000003</v>
      </c>
      <c r="X19" s="17">
        <f>U19*0.03</f>
        <v>1243.08</v>
      </c>
      <c r="Y19" s="19">
        <f>U19*0.02</f>
        <v>828.72</v>
      </c>
      <c r="Z19" s="17">
        <f>SUM(U19:Y19)</f>
        <v>48359.955600000001</v>
      </c>
      <c r="AA19" s="56">
        <f>+F19*S19/360</f>
        <v>3453</v>
      </c>
      <c r="AB19" s="56"/>
    </row>
    <row r="20" spans="1:32" s="1" customFormat="1" ht="26.25" customHeight="1">
      <c r="A20" s="1">
        <f>A19+1</f>
        <v>8</v>
      </c>
      <c r="B20" s="13" t="s">
        <v>175</v>
      </c>
      <c r="C20" s="14" t="s">
        <v>32</v>
      </c>
      <c r="D20" s="14">
        <v>2022</v>
      </c>
      <c r="E20" s="15" t="s">
        <v>30</v>
      </c>
      <c r="F20" s="16">
        <v>6906</v>
      </c>
      <c r="G20" s="17">
        <v>26</v>
      </c>
      <c r="H20" s="17">
        <v>30</v>
      </c>
      <c r="I20" s="17">
        <v>30</v>
      </c>
      <c r="J20" s="17">
        <v>30</v>
      </c>
      <c r="K20" s="17">
        <v>30</v>
      </c>
      <c r="L20" s="17">
        <v>0</v>
      </c>
      <c r="M20" s="17">
        <v>0</v>
      </c>
      <c r="N20" s="17">
        <v>0</v>
      </c>
      <c r="O20" s="17">
        <v>0</v>
      </c>
      <c r="P20" s="17">
        <v>0</v>
      </c>
      <c r="Q20" s="17">
        <v>0</v>
      </c>
      <c r="R20" s="17">
        <v>0</v>
      </c>
      <c r="S20" s="15">
        <f t="shared" si="2"/>
        <v>146</v>
      </c>
      <c r="T20" s="18">
        <f>+S20/30</f>
        <v>4.8666666666666663</v>
      </c>
      <c r="U20" s="16">
        <f>ROUND(PRODUCT(F20*T20),0)</f>
        <v>33609</v>
      </c>
      <c r="V20" s="17">
        <f>U20*0.1</f>
        <v>3360.9</v>
      </c>
      <c r="W20" s="17">
        <f>U20*0.0171</f>
        <v>574.71389999999997</v>
      </c>
      <c r="X20" s="17">
        <f>U20*0.03</f>
        <v>1008.27</v>
      </c>
      <c r="Y20" s="19">
        <f>U20*0.02</f>
        <v>672.18000000000006</v>
      </c>
      <c r="Z20" s="17">
        <f>SUM(U20:Y20)</f>
        <v>39225.063900000001</v>
      </c>
      <c r="AA20" s="56">
        <f>+F20*S20/360</f>
        <v>2800.7666666666669</v>
      </c>
      <c r="AB20" s="56"/>
    </row>
    <row r="21" spans="1:32" s="1" customFormat="1" ht="26.25" customHeight="1">
      <c r="A21" s="1">
        <f>A20+1</f>
        <v>9</v>
      </c>
      <c r="B21" s="13" t="s">
        <v>176</v>
      </c>
      <c r="C21" s="14" t="s">
        <v>32</v>
      </c>
      <c r="D21" s="14">
        <v>2022</v>
      </c>
      <c r="E21" s="15" t="s">
        <v>30</v>
      </c>
      <c r="F21" s="16">
        <v>6906</v>
      </c>
      <c r="G21" s="17">
        <v>0</v>
      </c>
      <c r="H21" s="17">
        <v>0</v>
      </c>
      <c r="I21" s="17">
        <v>0</v>
      </c>
      <c r="J21" s="17">
        <v>0</v>
      </c>
      <c r="K21" s="17">
        <v>0</v>
      </c>
      <c r="L21" s="17">
        <v>0</v>
      </c>
      <c r="M21" s="17">
        <v>0</v>
      </c>
      <c r="N21" s="17">
        <v>30</v>
      </c>
      <c r="O21" s="17">
        <v>30</v>
      </c>
      <c r="P21" s="17">
        <v>30</v>
      </c>
      <c r="Q21" s="17">
        <v>30</v>
      </c>
      <c r="R21" s="17">
        <v>30</v>
      </c>
      <c r="S21" s="15">
        <f t="shared" si="2"/>
        <v>150</v>
      </c>
      <c r="T21" s="18">
        <f>+S21/30</f>
        <v>5</v>
      </c>
      <c r="U21" s="16">
        <f>ROUND(PRODUCT(F21*T21),0)</f>
        <v>34530</v>
      </c>
      <c r="V21" s="17">
        <f>U21*0.1</f>
        <v>3453</v>
      </c>
      <c r="W21" s="17">
        <f>U21*0.0171</f>
        <v>590.46299999999997</v>
      </c>
      <c r="X21" s="17">
        <f>U21*0.03</f>
        <v>1035.8999999999999</v>
      </c>
      <c r="Y21" s="19">
        <f>U21*0.02</f>
        <v>690.6</v>
      </c>
      <c r="Z21" s="17">
        <f>SUM(U21:Y21)</f>
        <v>40299.963000000003</v>
      </c>
      <c r="AA21" s="56">
        <f>+F21*S21/360</f>
        <v>2877.5</v>
      </c>
      <c r="AB21" s="56"/>
    </row>
    <row r="22" spans="1:32" s="1" customFormat="1" ht="26.25" customHeight="1">
      <c r="A22" s="1">
        <f>A21+1</f>
        <v>10</v>
      </c>
      <c r="B22" s="13" t="s">
        <v>177</v>
      </c>
      <c r="C22" s="14" t="s">
        <v>32</v>
      </c>
      <c r="D22" s="14">
        <v>2022</v>
      </c>
      <c r="E22" s="15" t="s">
        <v>30</v>
      </c>
      <c r="F22" s="16">
        <v>6906</v>
      </c>
      <c r="G22" s="17">
        <v>0</v>
      </c>
      <c r="H22" s="17">
        <v>0</v>
      </c>
      <c r="I22" s="17">
        <v>0</v>
      </c>
      <c r="J22" s="17">
        <v>0</v>
      </c>
      <c r="K22" s="17">
        <v>0</v>
      </c>
      <c r="L22" s="17">
        <v>0</v>
      </c>
      <c r="M22" s="17">
        <v>0</v>
      </c>
      <c r="N22" s="17">
        <v>30</v>
      </c>
      <c r="O22" s="17">
        <v>30</v>
      </c>
      <c r="P22" s="17">
        <v>30</v>
      </c>
      <c r="Q22" s="17">
        <v>30</v>
      </c>
      <c r="R22" s="17">
        <v>30</v>
      </c>
      <c r="S22" s="15">
        <f t="shared" si="2"/>
        <v>150</v>
      </c>
      <c r="T22" s="18">
        <f>+S22/30</f>
        <v>5</v>
      </c>
      <c r="U22" s="16">
        <f>ROUND(PRODUCT(F22*T22),0)</f>
        <v>34530</v>
      </c>
      <c r="V22" s="17">
        <f>U22*0.1</f>
        <v>3453</v>
      </c>
      <c r="W22" s="17">
        <f>U22*0.0171</f>
        <v>590.46299999999997</v>
      </c>
      <c r="X22" s="17">
        <f>U22*0.03</f>
        <v>1035.8999999999999</v>
      </c>
      <c r="Y22" s="19">
        <f>U22*0.02</f>
        <v>690.6</v>
      </c>
      <c r="Z22" s="17">
        <f>SUM(U22:Y22)</f>
        <v>40299.963000000003</v>
      </c>
      <c r="AA22" s="56">
        <f>+F22*S22/360</f>
        <v>2877.5</v>
      </c>
      <c r="AB22" s="56"/>
    </row>
    <row r="23" spans="1:32" s="1" customFormat="1" ht="25.5" customHeight="1">
      <c r="B23" s="143" t="s">
        <v>35</v>
      </c>
      <c r="C23" s="144"/>
      <c r="D23" s="144"/>
      <c r="E23" s="145"/>
      <c r="F23" s="146"/>
      <c r="G23" s="149"/>
      <c r="H23" s="146"/>
      <c r="I23" s="146"/>
      <c r="J23" s="146"/>
      <c r="K23" s="146"/>
      <c r="L23" s="146"/>
      <c r="M23" s="146"/>
      <c r="N23" s="146"/>
      <c r="O23" s="146"/>
      <c r="P23" s="146"/>
      <c r="Q23" s="146"/>
      <c r="R23" s="146"/>
      <c r="S23" s="145"/>
      <c r="T23" s="147"/>
      <c r="U23" s="148"/>
      <c r="V23" s="149"/>
      <c r="W23" s="149"/>
      <c r="X23" s="149"/>
      <c r="Y23" s="150"/>
      <c r="Z23" s="149"/>
      <c r="AA23" s="56"/>
      <c r="AB23" s="56">
        <f t="shared" si="0"/>
        <v>0</v>
      </c>
    </row>
    <row r="24" spans="1:32" s="1" customFormat="1" ht="26.25" customHeight="1">
      <c r="A24" s="1">
        <f>A22+1</f>
        <v>11</v>
      </c>
      <c r="B24" s="13" t="s">
        <v>198</v>
      </c>
      <c r="C24" s="14" t="s">
        <v>32</v>
      </c>
      <c r="D24" s="14">
        <v>2022</v>
      </c>
      <c r="E24" s="15" t="s">
        <v>30</v>
      </c>
      <c r="F24" s="16">
        <v>10173</v>
      </c>
      <c r="G24" s="17">
        <v>26</v>
      </c>
      <c r="H24" s="17">
        <v>30</v>
      </c>
      <c r="I24" s="17">
        <v>30</v>
      </c>
      <c r="J24" s="17">
        <v>30</v>
      </c>
      <c r="K24" s="17">
        <v>30</v>
      </c>
      <c r="L24" s="17">
        <v>30</v>
      </c>
      <c r="M24" s="17">
        <v>30</v>
      </c>
      <c r="N24" s="17">
        <v>30</v>
      </c>
      <c r="O24" s="17">
        <v>30</v>
      </c>
      <c r="P24" s="17">
        <v>30</v>
      </c>
      <c r="Q24" s="17">
        <v>30</v>
      </c>
      <c r="R24" s="17">
        <v>30</v>
      </c>
      <c r="S24" s="15">
        <f t="shared" si="2"/>
        <v>356</v>
      </c>
      <c r="T24" s="18">
        <f t="shared" si="1"/>
        <v>11.866666666666667</v>
      </c>
      <c r="U24" s="16">
        <f t="shared" ref="U24:U29" si="3">ROUND(PRODUCT(F24*T24),0)</f>
        <v>120720</v>
      </c>
      <c r="V24" s="17">
        <f t="shared" ref="V24:V29" si="4">U24*0.1</f>
        <v>12072</v>
      </c>
      <c r="W24" s="17">
        <f t="shared" ref="W24:W29" si="5">U24*0.0171</f>
        <v>2064.3119999999999</v>
      </c>
      <c r="X24" s="17">
        <f t="shared" ref="X24:X29" si="6">U24*0.03</f>
        <v>3621.6</v>
      </c>
      <c r="Y24" s="19">
        <f t="shared" ref="Y24:Y29" si="7">U24*0.02</f>
        <v>2414.4</v>
      </c>
      <c r="Z24" s="17">
        <f t="shared" ref="Z24:Z29" si="8">SUM(U24:Y24)</f>
        <v>140892.31200000001</v>
      </c>
      <c r="AA24" s="56">
        <f>+F24*S24/360</f>
        <v>10059.966666666667</v>
      </c>
      <c r="AB24" s="56">
        <f t="shared" si="0"/>
        <v>150952.27866666668</v>
      </c>
    </row>
    <row r="25" spans="1:32" s="1" customFormat="1" ht="29.25" customHeight="1">
      <c r="A25" s="1">
        <f>A24+1</f>
        <v>12</v>
      </c>
      <c r="B25" s="13" t="s">
        <v>199</v>
      </c>
      <c r="C25" s="14" t="s">
        <v>32</v>
      </c>
      <c r="D25" s="14">
        <v>2022</v>
      </c>
      <c r="E25" s="15" t="s">
        <v>30</v>
      </c>
      <c r="F25" s="16">
        <v>8689</v>
      </c>
      <c r="G25" s="17">
        <v>26</v>
      </c>
      <c r="H25" s="17">
        <v>30</v>
      </c>
      <c r="I25" s="17">
        <v>30</v>
      </c>
      <c r="J25" s="17">
        <v>30</v>
      </c>
      <c r="K25" s="17">
        <v>30</v>
      </c>
      <c r="L25" s="17">
        <v>30</v>
      </c>
      <c r="M25" s="17">
        <v>30</v>
      </c>
      <c r="N25" s="17">
        <v>30</v>
      </c>
      <c r="O25" s="17">
        <v>30</v>
      </c>
      <c r="P25" s="17">
        <v>30</v>
      </c>
      <c r="Q25" s="17">
        <v>30</v>
      </c>
      <c r="R25" s="17">
        <v>30</v>
      </c>
      <c r="S25" s="15">
        <f t="shared" si="2"/>
        <v>356</v>
      </c>
      <c r="T25" s="18">
        <f t="shared" si="1"/>
        <v>11.866666666666667</v>
      </c>
      <c r="U25" s="16">
        <f t="shared" si="3"/>
        <v>103109</v>
      </c>
      <c r="V25" s="17">
        <f t="shared" si="4"/>
        <v>10310.900000000001</v>
      </c>
      <c r="W25" s="17">
        <f t="shared" si="5"/>
        <v>1763.1639</v>
      </c>
      <c r="X25" s="17">
        <f t="shared" si="6"/>
        <v>3093.27</v>
      </c>
      <c r="Y25" s="19">
        <f t="shared" si="7"/>
        <v>2062.1799999999998</v>
      </c>
      <c r="Z25" s="17">
        <f t="shared" si="8"/>
        <v>120338.51389999999</v>
      </c>
      <c r="AA25" s="56">
        <f>+F25*S25/360</f>
        <v>8592.4555555555562</v>
      </c>
      <c r="AB25" s="56">
        <f t="shared" si="0"/>
        <v>128930.96945555555</v>
      </c>
    </row>
    <row r="26" spans="1:32" s="1" customFormat="1" ht="21" customHeight="1">
      <c r="A26" s="1">
        <f>A25+1</f>
        <v>13</v>
      </c>
      <c r="B26" s="13" t="s">
        <v>200</v>
      </c>
      <c r="C26" s="14" t="s">
        <v>32</v>
      </c>
      <c r="D26" s="14">
        <v>2022</v>
      </c>
      <c r="E26" s="15" t="s">
        <v>30</v>
      </c>
      <c r="F26" s="16">
        <v>4529</v>
      </c>
      <c r="G26" s="17">
        <v>0</v>
      </c>
      <c r="H26" s="17">
        <v>30</v>
      </c>
      <c r="I26" s="17">
        <v>30</v>
      </c>
      <c r="J26" s="30">
        <v>30</v>
      </c>
      <c r="K26" s="30">
        <v>30</v>
      </c>
      <c r="L26" s="30">
        <v>30</v>
      </c>
      <c r="M26" s="17">
        <v>30</v>
      </c>
      <c r="N26" s="17">
        <v>30</v>
      </c>
      <c r="O26" s="17">
        <v>30</v>
      </c>
      <c r="P26" s="17">
        <v>30</v>
      </c>
      <c r="Q26" s="17">
        <v>30</v>
      </c>
      <c r="R26" s="17">
        <v>30</v>
      </c>
      <c r="S26" s="15">
        <f t="shared" si="2"/>
        <v>330</v>
      </c>
      <c r="T26" s="18">
        <f t="shared" si="1"/>
        <v>11</v>
      </c>
      <c r="U26" s="16">
        <f t="shared" si="3"/>
        <v>49819</v>
      </c>
      <c r="V26" s="17">
        <f t="shared" si="4"/>
        <v>4981.9000000000005</v>
      </c>
      <c r="W26" s="17">
        <f t="shared" si="5"/>
        <v>851.9049</v>
      </c>
      <c r="X26" s="17">
        <f t="shared" si="6"/>
        <v>1494.57</v>
      </c>
      <c r="Y26" s="19">
        <f t="shared" si="7"/>
        <v>996.38</v>
      </c>
      <c r="Z26" s="17">
        <f t="shared" si="8"/>
        <v>58143.7549</v>
      </c>
      <c r="AA26" s="56">
        <f>+F26*S26/360</f>
        <v>4151.583333333333</v>
      </c>
      <c r="AB26" s="56">
        <f t="shared" si="0"/>
        <v>62295.338233333336</v>
      </c>
    </row>
    <row r="27" spans="1:32" s="1" customFormat="1">
      <c r="A27" s="1">
        <f>A26+1</f>
        <v>14</v>
      </c>
      <c r="B27" s="13" t="s">
        <v>201</v>
      </c>
      <c r="C27" s="14" t="s">
        <v>32</v>
      </c>
      <c r="D27" s="14">
        <v>2022</v>
      </c>
      <c r="E27" s="15" t="s">
        <v>30</v>
      </c>
      <c r="F27" s="16">
        <v>4009</v>
      </c>
      <c r="G27" s="17">
        <v>23</v>
      </c>
      <c r="H27" s="17">
        <v>30</v>
      </c>
      <c r="I27" s="17">
        <v>30</v>
      </c>
      <c r="J27" s="17">
        <v>30</v>
      </c>
      <c r="K27" s="17">
        <v>30</v>
      </c>
      <c r="L27" s="17">
        <v>30</v>
      </c>
      <c r="M27" s="17">
        <v>30</v>
      </c>
      <c r="N27" s="17">
        <v>30</v>
      </c>
      <c r="O27" s="17">
        <v>30</v>
      </c>
      <c r="P27" s="17">
        <v>30</v>
      </c>
      <c r="Q27" s="17">
        <v>30</v>
      </c>
      <c r="R27" s="17">
        <v>30</v>
      </c>
      <c r="S27" s="15">
        <f t="shared" si="2"/>
        <v>353</v>
      </c>
      <c r="T27" s="18">
        <f>+S27/30</f>
        <v>11.766666666666667</v>
      </c>
      <c r="U27" s="16">
        <f t="shared" si="3"/>
        <v>47173</v>
      </c>
      <c r="V27" s="17">
        <f>U27*0.1</f>
        <v>4717.3</v>
      </c>
      <c r="W27" s="17">
        <f>U27*0.0171</f>
        <v>806.65830000000005</v>
      </c>
      <c r="X27" s="17">
        <f>U27*0.03</f>
        <v>1415.19</v>
      </c>
      <c r="Y27" s="19">
        <f>U27*0.02</f>
        <v>943.46</v>
      </c>
      <c r="Z27" s="17">
        <f>SUM(U27:Y27)</f>
        <v>55055.608300000007</v>
      </c>
      <c r="AA27" s="56">
        <f>+F27*S27/360</f>
        <v>3931.0472222222224</v>
      </c>
      <c r="AB27" s="56">
        <f>+AA27+Z27</f>
        <v>58986.655522222231</v>
      </c>
    </row>
    <row r="28" spans="1:32" s="1" customFormat="1" ht="23.25" customHeight="1">
      <c r="A28" s="1">
        <f>A27+1</f>
        <v>15</v>
      </c>
      <c r="B28" s="13" t="s">
        <v>202</v>
      </c>
      <c r="C28" s="14" t="s">
        <v>32</v>
      </c>
      <c r="D28" s="14">
        <v>2022</v>
      </c>
      <c r="E28" s="15" t="s">
        <v>30</v>
      </c>
      <c r="F28" s="16">
        <v>4009</v>
      </c>
      <c r="G28" s="17">
        <v>26</v>
      </c>
      <c r="H28" s="17">
        <v>30</v>
      </c>
      <c r="I28" s="17">
        <v>30</v>
      </c>
      <c r="J28" s="17">
        <v>30</v>
      </c>
      <c r="K28" s="17">
        <v>30</v>
      </c>
      <c r="L28" s="17">
        <v>30</v>
      </c>
      <c r="M28" s="17">
        <v>30</v>
      </c>
      <c r="N28" s="17">
        <v>30</v>
      </c>
      <c r="O28" s="17">
        <v>30</v>
      </c>
      <c r="P28" s="17">
        <v>30</v>
      </c>
      <c r="Q28" s="17">
        <v>30</v>
      </c>
      <c r="R28" s="17">
        <v>30</v>
      </c>
      <c r="S28" s="15">
        <f t="shared" si="2"/>
        <v>356</v>
      </c>
      <c r="T28" s="18">
        <f t="shared" si="1"/>
        <v>11.866666666666667</v>
      </c>
      <c r="U28" s="16">
        <f t="shared" si="3"/>
        <v>47573</v>
      </c>
      <c r="V28" s="17">
        <f t="shared" si="4"/>
        <v>4757.3</v>
      </c>
      <c r="W28" s="17">
        <f t="shared" si="5"/>
        <v>813.49830000000009</v>
      </c>
      <c r="X28" s="17">
        <f t="shared" si="6"/>
        <v>1427.19</v>
      </c>
      <c r="Y28" s="19">
        <f t="shared" si="7"/>
        <v>951.46</v>
      </c>
      <c r="Z28" s="17">
        <f t="shared" si="8"/>
        <v>55522.448300000004</v>
      </c>
      <c r="AA28" s="56">
        <f>+F28*S28/360</f>
        <v>3964.4555555555557</v>
      </c>
      <c r="AB28" s="56">
        <f t="shared" si="0"/>
        <v>59486.90385555556</v>
      </c>
    </row>
    <row r="29" spans="1:32" s="1" customFormat="1" ht="23.25" customHeight="1">
      <c r="A29" s="1">
        <f>A28+1</f>
        <v>16</v>
      </c>
      <c r="B29" s="13" t="s">
        <v>203</v>
      </c>
      <c r="C29" s="14" t="s">
        <v>32</v>
      </c>
      <c r="D29" s="14">
        <v>2022</v>
      </c>
      <c r="E29" s="15" t="s">
        <v>30</v>
      </c>
      <c r="F29" s="16">
        <v>3340</v>
      </c>
      <c r="G29" s="17">
        <v>0</v>
      </c>
      <c r="H29" s="17">
        <v>30</v>
      </c>
      <c r="I29" s="17">
        <v>30</v>
      </c>
      <c r="J29" s="17">
        <v>10</v>
      </c>
      <c r="K29" s="17">
        <v>0</v>
      </c>
      <c r="L29" s="17">
        <v>0</v>
      </c>
      <c r="M29" s="17">
        <v>0</v>
      </c>
      <c r="N29" s="17">
        <v>0</v>
      </c>
      <c r="O29" s="17">
        <v>0</v>
      </c>
      <c r="P29" s="17">
        <v>0</v>
      </c>
      <c r="Q29" s="17">
        <v>0</v>
      </c>
      <c r="R29" s="17">
        <v>0</v>
      </c>
      <c r="S29" s="15">
        <f t="shared" si="2"/>
        <v>70</v>
      </c>
      <c r="T29" s="18">
        <f t="shared" si="1"/>
        <v>2.3333333333333335</v>
      </c>
      <c r="U29" s="16">
        <f t="shared" si="3"/>
        <v>7793</v>
      </c>
      <c r="V29" s="17">
        <f t="shared" si="4"/>
        <v>779.30000000000007</v>
      </c>
      <c r="W29" s="17">
        <f t="shared" si="5"/>
        <v>133.2603</v>
      </c>
      <c r="X29" s="17">
        <f t="shared" si="6"/>
        <v>233.79</v>
      </c>
      <c r="Y29" s="19">
        <f t="shared" si="7"/>
        <v>155.86000000000001</v>
      </c>
      <c r="Z29" s="17">
        <f t="shared" si="8"/>
        <v>9095.2103000000006</v>
      </c>
      <c r="AA29" s="56"/>
      <c r="AB29" s="56">
        <f t="shared" si="0"/>
        <v>9095.2103000000006</v>
      </c>
    </row>
    <row r="30" spans="1:32" s="1" customFormat="1" ht="28.5" customHeight="1">
      <c r="B30" s="143" t="s">
        <v>38</v>
      </c>
      <c r="C30" s="153"/>
      <c r="D30" s="154"/>
      <c r="E30" s="154"/>
      <c r="F30" s="154"/>
      <c r="G30" s="154"/>
      <c r="H30" s="154"/>
      <c r="I30" s="154"/>
      <c r="J30" s="154"/>
      <c r="K30" s="154"/>
      <c r="L30" s="154"/>
      <c r="M30" s="154"/>
      <c r="N30" s="154"/>
      <c r="O30" s="154"/>
      <c r="P30" s="154"/>
      <c r="Q30" s="154"/>
      <c r="R30" s="154"/>
      <c r="S30" s="154"/>
      <c r="T30" s="154"/>
      <c r="U30" s="146"/>
      <c r="V30" s="154"/>
      <c r="W30" s="154"/>
      <c r="X30" s="154"/>
      <c r="Y30" s="154"/>
      <c r="Z30" s="149"/>
      <c r="AA30" s="56"/>
      <c r="AB30" s="56">
        <f>+AA30+Z30</f>
        <v>0</v>
      </c>
    </row>
    <row r="31" spans="1:32" s="1" customFormat="1" ht="33.75" customHeight="1">
      <c r="A31" s="1">
        <f>A29+1</f>
        <v>17</v>
      </c>
      <c r="B31" s="13" t="s">
        <v>204</v>
      </c>
      <c r="C31" s="14" t="s">
        <v>32</v>
      </c>
      <c r="D31" s="14">
        <v>2022</v>
      </c>
      <c r="E31" s="15" t="s">
        <v>30</v>
      </c>
      <c r="F31" s="16">
        <v>10173</v>
      </c>
      <c r="G31" s="17">
        <v>20</v>
      </c>
      <c r="H31" s="17">
        <v>30</v>
      </c>
      <c r="I31" s="17">
        <v>30</v>
      </c>
      <c r="J31" s="17">
        <v>30</v>
      </c>
      <c r="K31" s="17">
        <v>30</v>
      </c>
      <c r="L31" s="17">
        <v>30</v>
      </c>
      <c r="M31" s="17">
        <v>30</v>
      </c>
      <c r="N31" s="17">
        <v>30</v>
      </c>
      <c r="O31" s="17">
        <v>30</v>
      </c>
      <c r="P31" s="17">
        <v>30</v>
      </c>
      <c r="Q31" s="17">
        <v>30</v>
      </c>
      <c r="R31" s="17">
        <v>30</v>
      </c>
      <c r="S31" s="15">
        <f t="shared" si="2"/>
        <v>350</v>
      </c>
      <c r="T31" s="18">
        <f>+S31/30</f>
        <v>11.666666666666666</v>
      </c>
      <c r="U31" s="16">
        <f>ROUND(PRODUCT(F31*T31),0)</f>
        <v>118685</v>
      </c>
      <c r="V31" s="17">
        <f>U31*0.1</f>
        <v>11868.5</v>
      </c>
      <c r="W31" s="17">
        <f>U31*0.0171</f>
        <v>2029.5135</v>
      </c>
      <c r="X31" s="17">
        <f>U31*0.03</f>
        <v>3560.5499999999997</v>
      </c>
      <c r="Y31" s="19">
        <f>U31*0.02</f>
        <v>2373.7000000000003</v>
      </c>
      <c r="Z31" s="17">
        <f>SUM(U31:Y31)</f>
        <v>138517.2635</v>
      </c>
      <c r="AA31" s="56">
        <f>+F31*S31/360</f>
        <v>9890.4166666666661</v>
      </c>
      <c r="AB31" s="56">
        <f>+AA31+Z31</f>
        <v>148407.68016666666</v>
      </c>
    </row>
    <row r="32" spans="1:32" s="1" customFormat="1" ht="29.25" customHeight="1">
      <c r="A32" s="1">
        <f>A31+1</f>
        <v>18</v>
      </c>
      <c r="B32" s="13" t="s">
        <v>168</v>
      </c>
      <c r="C32" s="14" t="s">
        <v>32</v>
      </c>
      <c r="D32" s="14">
        <v>2022</v>
      </c>
      <c r="E32" s="15" t="s">
        <v>30</v>
      </c>
      <c r="F32" s="16">
        <v>6906</v>
      </c>
      <c r="G32" s="17">
        <v>0</v>
      </c>
      <c r="H32" s="17">
        <v>30</v>
      </c>
      <c r="I32" s="17">
        <v>30</v>
      </c>
      <c r="J32" s="17">
        <v>30</v>
      </c>
      <c r="K32" s="17">
        <v>0</v>
      </c>
      <c r="L32" s="17">
        <v>0</v>
      </c>
      <c r="M32" s="17">
        <v>0</v>
      </c>
      <c r="N32" s="17">
        <v>0</v>
      </c>
      <c r="O32" s="17">
        <v>0</v>
      </c>
      <c r="P32" s="17">
        <v>0</v>
      </c>
      <c r="Q32" s="17">
        <v>0</v>
      </c>
      <c r="R32" s="17">
        <v>0</v>
      </c>
      <c r="S32" s="15">
        <f t="shared" si="2"/>
        <v>90</v>
      </c>
      <c r="T32" s="18">
        <f>+S32/30</f>
        <v>3</v>
      </c>
      <c r="U32" s="16">
        <f>ROUND(PRODUCT(F32*T32),0)</f>
        <v>20718</v>
      </c>
      <c r="V32" s="17">
        <f>U32*0.1</f>
        <v>2071.8000000000002</v>
      </c>
      <c r="W32" s="17">
        <f>U32*0.0171</f>
        <v>354.27780000000001</v>
      </c>
      <c r="X32" s="17">
        <f>U32*0.03</f>
        <v>621.54</v>
      </c>
      <c r="Y32" s="19">
        <f>U32*0.02</f>
        <v>414.36</v>
      </c>
      <c r="Z32" s="17">
        <f>SUM(U32:Y32)</f>
        <v>24179.977800000001</v>
      </c>
      <c r="AA32" s="56"/>
      <c r="AB32" s="56">
        <f>+AA32+Z32</f>
        <v>24179.977800000001</v>
      </c>
      <c r="AF32" s="1">
        <v>20</v>
      </c>
    </row>
    <row r="33" spans="1:32" s="1" customFormat="1" ht="29.25" customHeight="1">
      <c r="A33" s="1">
        <f>A32+1</f>
        <v>19</v>
      </c>
      <c r="B33" s="13" t="s">
        <v>169</v>
      </c>
      <c r="C33" s="14" t="s">
        <v>32</v>
      </c>
      <c r="D33" s="14">
        <v>2022</v>
      </c>
      <c r="E33" s="15" t="s">
        <v>30</v>
      </c>
      <c r="F33" s="16">
        <v>6906</v>
      </c>
      <c r="G33" s="17">
        <v>0</v>
      </c>
      <c r="H33" s="17">
        <v>30</v>
      </c>
      <c r="I33" s="17">
        <v>30</v>
      </c>
      <c r="J33" s="17">
        <v>0</v>
      </c>
      <c r="K33" s="17">
        <v>0</v>
      </c>
      <c r="L33" s="17">
        <v>0</v>
      </c>
      <c r="M33" s="17">
        <v>0</v>
      </c>
      <c r="N33" s="17">
        <v>0</v>
      </c>
      <c r="O33" s="17">
        <v>0</v>
      </c>
      <c r="P33" s="17">
        <v>0</v>
      </c>
      <c r="Q33" s="17">
        <v>0</v>
      </c>
      <c r="R33" s="17">
        <v>0</v>
      </c>
      <c r="S33" s="15">
        <f t="shared" si="2"/>
        <v>60</v>
      </c>
      <c r="T33" s="18">
        <f>+S33/30</f>
        <v>2</v>
      </c>
      <c r="U33" s="16">
        <f>ROUND(PRODUCT(F33*T33),0)</f>
        <v>13812</v>
      </c>
      <c r="V33" s="17">
        <f>U33*0.1</f>
        <v>1381.2</v>
      </c>
      <c r="W33" s="17">
        <f>U33*0.0171</f>
        <v>236.18520000000001</v>
      </c>
      <c r="X33" s="17">
        <f>U33*0.03</f>
        <v>414.35999999999996</v>
      </c>
      <c r="Y33" s="19">
        <f>U33*0.02</f>
        <v>276.24</v>
      </c>
      <c r="Z33" s="17">
        <f>SUM(U33:Y33)</f>
        <v>16119.985200000001</v>
      </c>
      <c r="AA33" s="56"/>
      <c r="AB33" s="56"/>
    </row>
    <row r="34" spans="1:32" s="1" customFormat="1" ht="26.25" customHeight="1">
      <c r="A34" s="1">
        <f>A33+1</f>
        <v>20</v>
      </c>
      <c r="B34" s="13" t="s">
        <v>170</v>
      </c>
      <c r="C34" s="14" t="s">
        <v>32</v>
      </c>
      <c r="D34" s="14">
        <v>2022</v>
      </c>
      <c r="E34" s="15" t="s">
        <v>30</v>
      </c>
      <c r="F34" s="16">
        <v>3340</v>
      </c>
      <c r="G34" s="17">
        <v>0</v>
      </c>
      <c r="H34" s="17">
        <v>30</v>
      </c>
      <c r="I34" s="17">
        <v>30</v>
      </c>
      <c r="J34" s="17">
        <v>30</v>
      </c>
      <c r="K34" s="17">
        <v>0</v>
      </c>
      <c r="L34" s="17">
        <v>0</v>
      </c>
      <c r="M34" s="17">
        <v>0</v>
      </c>
      <c r="N34" s="17">
        <v>0</v>
      </c>
      <c r="O34" s="17">
        <v>0</v>
      </c>
      <c r="P34" s="17">
        <v>0</v>
      </c>
      <c r="Q34" s="17">
        <v>0</v>
      </c>
      <c r="R34" s="17">
        <v>0</v>
      </c>
      <c r="S34" s="15">
        <f t="shared" si="2"/>
        <v>90</v>
      </c>
      <c r="T34" s="18">
        <f>+S34/30</f>
        <v>3</v>
      </c>
      <c r="U34" s="16">
        <f>ROUND(PRODUCT(F34*T34),0)</f>
        <v>10020</v>
      </c>
      <c r="V34" s="17">
        <f>U34*0.1</f>
        <v>1002</v>
      </c>
      <c r="W34" s="17">
        <f>U34*0.0171</f>
        <v>171.34200000000001</v>
      </c>
      <c r="X34" s="17">
        <f>U34*0.03</f>
        <v>300.59999999999997</v>
      </c>
      <c r="Y34" s="19">
        <f>U34*0.02</f>
        <v>200.4</v>
      </c>
      <c r="Z34" s="17">
        <f>SUM(U34:Y34)</f>
        <v>11694.342000000001</v>
      </c>
      <c r="AA34" s="56"/>
      <c r="AB34" s="56">
        <f>+AA34+Z34</f>
        <v>11694.342000000001</v>
      </c>
      <c r="AF34" s="1">
        <v>30</v>
      </c>
    </row>
    <row r="35" spans="1:32" s="1" customFormat="1" ht="26.25" customHeight="1">
      <c r="B35" s="139" t="s">
        <v>39</v>
      </c>
      <c r="C35" s="144"/>
      <c r="D35" s="144"/>
      <c r="E35" s="145"/>
      <c r="F35" s="146"/>
      <c r="G35" s="146"/>
      <c r="H35" s="146"/>
      <c r="I35" s="146"/>
      <c r="J35" s="146"/>
      <c r="K35" s="146"/>
      <c r="L35" s="146"/>
      <c r="M35" s="146"/>
      <c r="N35" s="146"/>
      <c r="O35" s="146"/>
      <c r="P35" s="146"/>
      <c r="Q35" s="146"/>
      <c r="R35" s="146"/>
      <c r="S35" s="145"/>
      <c r="T35" s="145"/>
      <c r="U35" s="146"/>
      <c r="V35" s="149"/>
      <c r="W35" s="149"/>
      <c r="X35" s="149"/>
      <c r="Y35" s="150"/>
      <c r="Z35" s="149"/>
      <c r="AA35" s="56"/>
      <c r="AB35" s="56">
        <f>+AA35+Z35</f>
        <v>0</v>
      </c>
      <c r="AF35" s="1">
        <v>30</v>
      </c>
    </row>
    <row r="36" spans="1:32" s="1" customFormat="1" ht="29.25" customHeight="1">
      <c r="A36" s="1">
        <f>A34+1</f>
        <v>21</v>
      </c>
      <c r="B36" s="13" t="s">
        <v>205</v>
      </c>
      <c r="C36" s="14" t="s">
        <v>32</v>
      </c>
      <c r="D36" s="14">
        <v>2022</v>
      </c>
      <c r="E36" s="15" t="s">
        <v>30</v>
      </c>
      <c r="F36" s="16">
        <v>10173</v>
      </c>
      <c r="G36" s="17">
        <v>26</v>
      </c>
      <c r="H36" s="17">
        <v>30</v>
      </c>
      <c r="I36" s="17">
        <v>30</v>
      </c>
      <c r="J36" s="17">
        <v>30</v>
      </c>
      <c r="K36" s="17">
        <v>30</v>
      </c>
      <c r="L36" s="17">
        <v>30</v>
      </c>
      <c r="M36" s="17">
        <v>30</v>
      </c>
      <c r="N36" s="17">
        <v>30</v>
      </c>
      <c r="O36" s="17">
        <v>30</v>
      </c>
      <c r="P36" s="17">
        <v>30</v>
      </c>
      <c r="Q36" s="17">
        <v>30</v>
      </c>
      <c r="R36" s="17">
        <v>30</v>
      </c>
      <c r="S36" s="15">
        <f t="shared" si="2"/>
        <v>356</v>
      </c>
      <c r="T36" s="18">
        <f>+S36/30</f>
        <v>11.866666666666667</v>
      </c>
      <c r="U36" s="16">
        <f>ROUND(PRODUCT(F36*T36),0)</f>
        <v>120720</v>
      </c>
      <c r="V36" s="17">
        <f>U36*0.1</f>
        <v>12072</v>
      </c>
      <c r="W36" s="17">
        <f>U36*0.0171</f>
        <v>2064.3119999999999</v>
      </c>
      <c r="X36" s="17">
        <f>U36*0.03</f>
        <v>3621.6</v>
      </c>
      <c r="Y36" s="19">
        <f>U36*0.02</f>
        <v>2414.4</v>
      </c>
      <c r="Z36" s="17">
        <f>SUM(U36:Y36)</f>
        <v>140892.31200000001</v>
      </c>
      <c r="AA36" s="56">
        <f>+F36*S36/360</f>
        <v>10059.966666666667</v>
      </c>
      <c r="AB36" s="56">
        <f>+AA36+Z36</f>
        <v>150952.27866666668</v>
      </c>
      <c r="AF36" s="1">
        <v>10</v>
      </c>
    </row>
    <row r="37" spans="1:32" s="1" customFormat="1" ht="23.25" customHeight="1">
      <c r="A37" s="1">
        <f>A36+1</f>
        <v>22</v>
      </c>
      <c r="B37" s="13" t="s">
        <v>171</v>
      </c>
      <c r="C37" s="14" t="s">
        <v>32</v>
      </c>
      <c r="D37" s="14">
        <v>2022</v>
      </c>
      <c r="E37" s="15" t="s">
        <v>30</v>
      </c>
      <c r="F37" s="16">
        <v>6906</v>
      </c>
      <c r="G37" s="17">
        <v>0</v>
      </c>
      <c r="H37" s="17">
        <v>30</v>
      </c>
      <c r="I37" s="17">
        <v>0</v>
      </c>
      <c r="J37" s="17">
        <v>0</v>
      </c>
      <c r="K37" s="17">
        <v>0</v>
      </c>
      <c r="L37" s="17">
        <v>0</v>
      </c>
      <c r="M37" s="17">
        <v>0</v>
      </c>
      <c r="N37" s="17">
        <v>0</v>
      </c>
      <c r="O37" s="17">
        <v>0</v>
      </c>
      <c r="P37" s="17">
        <v>0</v>
      </c>
      <c r="Q37" s="17">
        <v>0</v>
      </c>
      <c r="R37" s="17">
        <v>0</v>
      </c>
      <c r="S37" s="15">
        <f t="shared" si="2"/>
        <v>30</v>
      </c>
      <c r="T37" s="18">
        <f>+S37/30</f>
        <v>1</v>
      </c>
      <c r="U37" s="16">
        <f>ROUND(PRODUCT(F37*T37),0)</f>
        <v>6906</v>
      </c>
      <c r="V37" s="17">
        <f>U37*0.1</f>
        <v>690.6</v>
      </c>
      <c r="W37" s="17">
        <f>U37*0.0171</f>
        <v>118.0926</v>
      </c>
      <c r="X37" s="17">
        <f>U37*0.03</f>
        <v>207.17999999999998</v>
      </c>
      <c r="Y37" s="19">
        <f>U37*0.02</f>
        <v>138.12</v>
      </c>
      <c r="Z37" s="17">
        <f>SUM(U37:Y37)</f>
        <v>8059.9926000000005</v>
      </c>
      <c r="AA37" s="56"/>
      <c r="AB37" s="56">
        <f>+AA37+Z37</f>
        <v>8059.9926000000005</v>
      </c>
      <c r="AF37" s="1">
        <f>SUM(AF32:AF36)</f>
        <v>90</v>
      </c>
    </row>
    <row r="38" spans="1:32" s="1" customFormat="1" ht="23.25" customHeight="1">
      <c r="A38" s="1">
        <f>A37+1</f>
        <v>23</v>
      </c>
      <c r="B38" s="13" t="s">
        <v>172</v>
      </c>
      <c r="C38" s="14" t="s">
        <v>32</v>
      </c>
      <c r="D38" s="14">
        <v>2022</v>
      </c>
      <c r="E38" s="15" t="s">
        <v>30</v>
      </c>
      <c r="F38" s="16">
        <v>6906</v>
      </c>
      <c r="G38" s="17">
        <v>0</v>
      </c>
      <c r="H38" s="17">
        <v>30</v>
      </c>
      <c r="I38" s="17">
        <v>0</v>
      </c>
      <c r="J38" s="17">
        <v>0</v>
      </c>
      <c r="K38" s="17">
        <v>0</v>
      </c>
      <c r="L38" s="17">
        <v>0</v>
      </c>
      <c r="M38" s="17">
        <v>0</v>
      </c>
      <c r="N38" s="17">
        <v>0</v>
      </c>
      <c r="O38" s="17">
        <v>0</v>
      </c>
      <c r="P38" s="17">
        <v>0</v>
      </c>
      <c r="Q38" s="17">
        <v>0</v>
      </c>
      <c r="R38" s="17">
        <v>0</v>
      </c>
      <c r="S38" s="15">
        <f t="shared" si="2"/>
        <v>30</v>
      </c>
      <c r="T38" s="18">
        <f>+S38/30</f>
        <v>1</v>
      </c>
      <c r="U38" s="16">
        <f>ROUND(PRODUCT(F38*T38),0)</f>
        <v>6906</v>
      </c>
      <c r="V38" s="17">
        <f>U38*0.1</f>
        <v>690.6</v>
      </c>
      <c r="W38" s="17">
        <f>U38*0.0171</f>
        <v>118.0926</v>
      </c>
      <c r="X38" s="17">
        <f>U38*0.03</f>
        <v>207.17999999999998</v>
      </c>
      <c r="Y38" s="19">
        <f>U38*0.02</f>
        <v>138.12</v>
      </c>
      <c r="Z38" s="17">
        <f>SUM(U38:Y38)</f>
        <v>8059.9926000000005</v>
      </c>
      <c r="AA38" s="56"/>
      <c r="AB38" s="56"/>
    </row>
    <row r="39" spans="1:32" s="1" customFormat="1" ht="28.5" customHeight="1">
      <c r="B39" s="139" t="s">
        <v>37</v>
      </c>
      <c r="C39" s="140"/>
      <c r="D39" s="140"/>
      <c r="E39" s="140"/>
      <c r="F39" s="155"/>
      <c r="G39" s="155"/>
      <c r="H39" s="155"/>
      <c r="I39" s="155"/>
      <c r="J39" s="155"/>
      <c r="K39" s="155"/>
      <c r="L39" s="155"/>
      <c r="M39" s="155"/>
      <c r="N39" s="155"/>
      <c r="O39" s="155"/>
      <c r="P39" s="155"/>
      <c r="Q39" s="155"/>
      <c r="R39" s="155"/>
      <c r="S39" s="140"/>
      <c r="T39" s="140"/>
      <c r="U39" s="148"/>
      <c r="V39" s="141"/>
      <c r="W39" s="141"/>
      <c r="X39" s="141"/>
      <c r="Y39" s="141"/>
      <c r="Z39" s="149"/>
      <c r="AA39" s="56"/>
      <c r="AB39" s="56">
        <f t="shared" si="0"/>
        <v>0</v>
      </c>
    </row>
    <row r="40" spans="1:32" s="1" customFormat="1" ht="20.399999999999999">
      <c r="A40" s="1">
        <f>A38+1</f>
        <v>24</v>
      </c>
      <c r="B40" s="25" t="s">
        <v>206</v>
      </c>
      <c r="C40" s="14" t="s">
        <v>32</v>
      </c>
      <c r="D40" s="14">
        <v>2022</v>
      </c>
      <c r="E40" s="15" t="s">
        <v>30</v>
      </c>
      <c r="F40" s="26">
        <v>10173</v>
      </c>
      <c r="G40" s="17">
        <v>26</v>
      </c>
      <c r="H40" s="17">
        <v>30</v>
      </c>
      <c r="I40" s="17">
        <v>30</v>
      </c>
      <c r="J40" s="17">
        <v>30</v>
      </c>
      <c r="K40" s="17">
        <v>30</v>
      </c>
      <c r="L40" s="17">
        <v>30</v>
      </c>
      <c r="M40" s="17">
        <v>30</v>
      </c>
      <c r="N40" s="17">
        <v>30</v>
      </c>
      <c r="O40" s="17">
        <v>30</v>
      </c>
      <c r="P40" s="17">
        <v>30</v>
      </c>
      <c r="Q40" s="17">
        <v>30</v>
      </c>
      <c r="R40" s="17">
        <v>30</v>
      </c>
      <c r="S40" s="15">
        <f t="shared" si="2"/>
        <v>356</v>
      </c>
      <c r="T40" s="18">
        <f>+S40/30</f>
        <v>11.866666666666667</v>
      </c>
      <c r="U40" s="16">
        <f>ROUND(PRODUCT(F40*T40),0)</f>
        <v>120720</v>
      </c>
      <c r="V40" s="17">
        <f>U40*0.1</f>
        <v>12072</v>
      </c>
      <c r="W40" s="17">
        <f>U40*0.0171</f>
        <v>2064.3119999999999</v>
      </c>
      <c r="X40" s="17">
        <f>U40*0.03</f>
        <v>3621.6</v>
      </c>
      <c r="Y40" s="19">
        <f>U40*0.02</f>
        <v>2414.4</v>
      </c>
      <c r="Z40" s="17">
        <f>SUM(U40:Y40)</f>
        <v>140892.31200000001</v>
      </c>
      <c r="AA40" s="56">
        <f>+F40*S40/360</f>
        <v>10059.966666666667</v>
      </c>
      <c r="AB40" s="56">
        <f t="shared" si="0"/>
        <v>150952.27866666668</v>
      </c>
    </row>
    <row r="41" spans="1:32" s="1" customFormat="1" ht="29.25" customHeight="1">
      <c r="A41" s="1">
        <f>A40+1</f>
        <v>25</v>
      </c>
      <c r="B41" s="13" t="s">
        <v>173</v>
      </c>
      <c r="C41" s="14" t="s">
        <v>32</v>
      </c>
      <c r="D41" s="14">
        <v>2022</v>
      </c>
      <c r="E41" s="15" t="s">
        <v>30</v>
      </c>
      <c r="F41" s="16">
        <v>6206</v>
      </c>
      <c r="G41" s="17">
        <v>0</v>
      </c>
      <c r="H41" s="17">
        <v>30</v>
      </c>
      <c r="I41" s="17">
        <v>0</v>
      </c>
      <c r="J41" s="17">
        <v>0</v>
      </c>
      <c r="K41" s="17">
        <v>0</v>
      </c>
      <c r="L41" s="17">
        <v>0</v>
      </c>
      <c r="M41" s="17">
        <v>0</v>
      </c>
      <c r="N41" s="17">
        <v>0</v>
      </c>
      <c r="O41" s="17">
        <v>0</v>
      </c>
      <c r="P41" s="17">
        <v>0</v>
      </c>
      <c r="Q41" s="17">
        <v>0</v>
      </c>
      <c r="R41" s="17">
        <v>0</v>
      </c>
      <c r="S41" s="15">
        <f t="shared" si="2"/>
        <v>30</v>
      </c>
      <c r="T41" s="18">
        <f>+S41/30</f>
        <v>1</v>
      </c>
      <c r="U41" s="16">
        <f>ROUND(PRODUCT(F41*T41),0)</f>
        <v>6206</v>
      </c>
      <c r="V41" s="17">
        <f>U41*0.1</f>
        <v>620.6</v>
      </c>
      <c r="W41" s="17">
        <f>U41*0.0171</f>
        <v>106.12260000000001</v>
      </c>
      <c r="X41" s="17">
        <f>U41*0.03</f>
        <v>186.18</v>
      </c>
      <c r="Y41" s="19">
        <f>U41*0.02</f>
        <v>124.12</v>
      </c>
      <c r="Z41" s="17">
        <f>SUM(U41:Y41)</f>
        <v>7243.0226000000002</v>
      </c>
      <c r="AA41" s="56"/>
      <c r="AB41" s="56">
        <f t="shared" si="0"/>
        <v>7243.0226000000002</v>
      </c>
    </row>
    <row r="42" spans="1:32" s="1" customFormat="1">
      <c r="A42" s="1">
        <f>A41+1</f>
        <v>26</v>
      </c>
      <c r="B42" s="13" t="s">
        <v>174</v>
      </c>
      <c r="C42" s="14" t="s">
        <v>32</v>
      </c>
      <c r="D42" s="14">
        <v>2022</v>
      </c>
      <c r="E42" s="15" t="s">
        <v>30</v>
      </c>
      <c r="F42" s="16">
        <v>6206</v>
      </c>
      <c r="G42" s="17">
        <v>0</v>
      </c>
      <c r="H42" s="17">
        <v>30</v>
      </c>
      <c r="I42" s="17">
        <v>0</v>
      </c>
      <c r="J42" s="17">
        <v>0</v>
      </c>
      <c r="K42" s="17">
        <v>0</v>
      </c>
      <c r="L42" s="17">
        <v>0</v>
      </c>
      <c r="M42" s="17">
        <v>0</v>
      </c>
      <c r="N42" s="17">
        <v>0</v>
      </c>
      <c r="O42" s="17">
        <v>0</v>
      </c>
      <c r="P42" s="17">
        <v>0</v>
      </c>
      <c r="Q42" s="17">
        <v>0</v>
      </c>
      <c r="R42" s="17">
        <v>0</v>
      </c>
      <c r="S42" s="15">
        <f t="shared" si="2"/>
        <v>30</v>
      </c>
      <c r="T42" s="18">
        <f>+S42/30</f>
        <v>1</v>
      </c>
      <c r="U42" s="16">
        <f>ROUND(PRODUCT(F42*T42),0)</f>
        <v>6206</v>
      </c>
      <c r="V42" s="17">
        <f>U42*0.1</f>
        <v>620.6</v>
      </c>
      <c r="W42" s="17">
        <f>U42*0.0171</f>
        <v>106.12260000000001</v>
      </c>
      <c r="X42" s="17">
        <f>U42*0.03</f>
        <v>186.18</v>
      </c>
      <c r="Y42" s="19">
        <f>U42*0.02</f>
        <v>124.12</v>
      </c>
      <c r="Z42" s="17">
        <f>SUM(U42:Y42)</f>
        <v>7243.0226000000002</v>
      </c>
      <c r="AA42" s="56"/>
      <c r="AB42" s="56">
        <f t="shared" si="0"/>
        <v>7243.0226000000002</v>
      </c>
    </row>
    <row r="43" spans="1:32" s="1" customFormat="1">
      <c r="B43" s="4"/>
      <c r="C43" s="5"/>
      <c r="D43" s="5"/>
      <c r="E43" s="5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31"/>
      <c r="V43" s="6"/>
      <c r="W43" s="6"/>
      <c r="X43" s="6"/>
      <c r="Y43" s="6"/>
      <c r="Z43" s="12"/>
      <c r="AA43" s="56"/>
      <c r="AB43" s="56">
        <f t="shared" si="0"/>
        <v>0</v>
      </c>
    </row>
    <row r="44" spans="1:32" s="1" customFormat="1">
      <c r="B44" s="32" t="s">
        <v>40</v>
      </c>
      <c r="C44" s="33">
        <v>18</v>
      </c>
      <c r="D44" s="34"/>
      <c r="E44" s="35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7">
        <f>SUM(U12:U43)</f>
        <v>1322151</v>
      </c>
      <c r="V44" s="38">
        <f>SUM(V10:V43)</f>
        <v>154999.5</v>
      </c>
      <c r="W44" s="38">
        <f>SUM(W10:W43)</f>
        <v>26504.914499999999</v>
      </c>
      <c r="X44" s="38">
        <f>SUM(X10:X43)</f>
        <v>46499.85</v>
      </c>
      <c r="Y44" s="39">
        <f>SUM(Y10:Y43)</f>
        <v>30999.900000000005</v>
      </c>
      <c r="Z44" s="38">
        <f>SUM(Z12:Z43)</f>
        <v>1543082.4320999999</v>
      </c>
      <c r="AA44" s="56">
        <f>SUM(AA9:AA42)</f>
        <v>119487.19722222222</v>
      </c>
      <c r="AB44" s="57">
        <f>SUM(AB9:AB42)</f>
        <v>1724112.6717555556</v>
      </c>
    </row>
    <row r="45" spans="1:32" s="1" customFormat="1">
      <c r="B45" s="32" t="s">
        <v>41</v>
      </c>
      <c r="C45" s="33">
        <v>18</v>
      </c>
      <c r="D45" s="34"/>
      <c r="E45" s="35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8">
        <f>SUM(U44:U44)</f>
        <v>1322151</v>
      </c>
      <c r="V45" s="40">
        <f>SUM(V44:V44)</f>
        <v>154999.5</v>
      </c>
      <c r="W45" s="40">
        <f>SUM(W44:W44)</f>
        <v>26504.914499999999</v>
      </c>
      <c r="X45" s="40">
        <f>SUM(X44:X44)</f>
        <v>46499.85</v>
      </c>
      <c r="Y45" s="41">
        <f>SUM(Y44:Y44)</f>
        <v>30999.900000000005</v>
      </c>
      <c r="Z45" s="42"/>
      <c r="AA45" s="56"/>
      <c r="AB45" s="56"/>
    </row>
    <row r="46" spans="1:32" s="127" customFormat="1">
      <c r="B46" s="122"/>
      <c r="C46" s="123"/>
      <c r="D46" s="123"/>
      <c r="E46" s="122"/>
      <c r="F46" s="124"/>
      <c r="G46" s="124"/>
      <c r="H46" s="124"/>
      <c r="I46" s="124"/>
      <c r="J46" s="124"/>
      <c r="K46" s="124"/>
      <c r="L46" s="124"/>
      <c r="M46" s="124"/>
      <c r="N46" s="124"/>
      <c r="O46" s="124"/>
      <c r="P46" s="124"/>
      <c r="Q46" s="124"/>
      <c r="R46" s="124"/>
      <c r="S46" s="124"/>
      <c r="T46" s="124"/>
      <c r="U46" s="125"/>
      <c r="V46" s="126"/>
      <c r="W46" s="126"/>
      <c r="X46" s="126"/>
      <c r="Y46" s="126"/>
      <c r="Z46" s="131"/>
      <c r="AA46" s="132"/>
      <c r="AB46" s="132"/>
    </row>
    <row r="47" spans="1:32" s="127" customFormat="1">
      <c r="B47" s="122"/>
      <c r="C47" s="123"/>
      <c r="D47" s="123"/>
      <c r="E47" s="122"/>
      <c r="F47" s="124"/>
      <c r="G47" s="124"/>
      <c r="H47" s="124"/>
      <c r="I47" s="124"/>
      <c r="J47" s="124"/>
      <c r="K47" s="124"/>
      <c r="L47" s="124"/>
      <c r="M47" s="124"/>
      <c r="N47" s="124"/>
      <c r="O47" s="124"/>
      <c r="P47" s="124"/>
      <c r="Q47" s="124"/>
      <c r="R47" s="124"/>
      <c r="S47" s="124"/>
      <c r="T47" s="124"/>
      <c r="U47" s="125"/>
      <c r="V47" s="126"/>
      <c r="W47" s="126"/>
      <c r="X47" s="126"/>
      <c r="Y47" s="126"/>
      <c r="Z47" s="131"/>
      <c r="AA47" s="132"/>
      <c r="AB47" s="132"/>
    </row>
    <row r="48" spans="1:32" s="127" customFormat="1">
      <c r="B48" s="122"/>
      <c r="C48" s="123"/>
      <c r="D48" s="123"/>
      <c r="E48" s="122"/>
      <c r="F48" s="124"/>
      <c r="G48" s="124"/>
      <c r="H48" s="124"/>
      <c r="I48" s="124"/>
      <c r="J48" s="124"/>
      <c r="K48" s="124"/>
      <c r="L48" s="124"/>
      <c r="M48" s="124"/>
      <c r="N48" s="124"/>
      <c r="O48" s="124"/>
      <c r="P48" s="124"/>
      <c r="Q48" s="124"/>
      <c r="R48" s="124"/>
      <c r="S48" s="124"/>
      <c r="T48" s="124"/>
      <c r="U48" s="125"/>
      <c r="V48" s="126"/>
      <c r="W48" s="126"/>
      <c r="X48" s="126"/>
      <c r="Y48" s="126"/>
      <c r="Z48" s="131"/>
      <c r="AA48" s="132"/>
      <c r="AB48" s="132"/>
    </row>
    <row r="49" spans="2:28" s="127" customFormat="1">
      <c r="B49" s="122"/>
      <c r="C49" s="123"/>
      <c r="D49" s="123"/>
      <c r="E49" s="122"/>
      <c r="F49" s="124"/>
      <c r="G49" s="124"/>
      <c r="H49" s="124"/>
      <c r="I49" s="124"/>
      <c r="J49" s="124"/>
      <c r="K49" s="124"/>
      <c r="L49" s="124"/>
      <c r="M49" s="124"/>
      <c r="N49" s="124"/>
      <c r="O49" s="124"/>
      <c r="P49" s="124"/>
      <c r="Q49" s="124"/>
      <c r="R49" s="124"/>
      <c r="S49" s="124"/>
      <c r="T49" s="124"/>
      <c r="U49" s="125"/>
      <c r="V49" s="126"/>
      <c r="W49" s="126"/>
      <c r="X49" s="126"/>
      <c r="Y49" s="126"/>
      <c r="Z49" s="131"/>
      <c r="AA49" s="132"/>
      <c r="AB49" s="132"/>
    </row>
    <row r="50" spans="2:28" s="1" customFormat="1">
      <c r="B50" s="4"/>
      <c r="C50" s="5"/>
      <c r="D50" s="5"/>
      <c r="E50" s="5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3"/>
      <c r="V50" s="6"/>
      <c r="W50" s="6"/>
      <c r="X50" s="6"/>
      <c r="Y50" s="6"/>
      <c r="Z50" s="44"/>
      <c r="AA50" s="56"/>
      <c r="AB50" s="56">
        <f>+Z55-AB44</f>
        <v>204394.32824444445</v>
      </c>
    </row>
    <row r="51" spans="2:28" s="1" customFormat="1" ht="14.1" customHeight="1">
      <c r="B51" s="45"/>
      <c r="C51" s="45"/>
      <c r="D51" s="133"/>
      <c r="E51" s="133"/>
      <c r="F51" s="133"/>
      <c r="G51" s="133"/>
      <c r="H51" s="133"/>
      <c r="I51" s="133"/>
      <c r="J51" s="133"/>
      <c r="K51" s="133"/>
      <c r="L51" s="133"/>
      <c r="M51" s="133"/>
      <c r="N51" s="133"/>
      <c r="O51" s="133"/>
      <c r="P51" s="133"/>
      <c r="Q51" s="133"/>
      <c r="R51" s="133"/>
      <c r="S51" s="45"/>
      <c r="T51" s="45"/>
      <c r="U51" s="46"/>
      <c r="V51" s="331" t="s">
        <v>42</v>
      </c>
      <c r="W51" s="331"/>
      <c r="X51" s="331"/>
      <c r="Y51" s="331"/>
      <c r="Z51" s="47">
        <f>F10</f>
        <v>18987</v>
      </c>
      <c r="AA51" s="56"/>
      <c r="AB51" s="56"/>
    </row>
    <row r="52" spans="2:28" s="1" customFormat="1">
      <c r="B52" s="45"/>
      <c r="C52" s="45"/>
      <c r="D52" s="133"/>
      <c r="E52" s="133"/>
      <c r="F52" s="133"/>
      <c r="G52" s="133"/>
      <c r="H52" s="133"/>
      <c r="I52" s="133"/>
      <c r="J52" s="133"/>
      <c r="K52" s="133"/>
      <c r="L52" s="133"/>
      <c r="M52" s="133"/>
      <c r="N52" s="133"/>
      <c r="O52" s="133"/>
      <c r="P52" s="133"/>
      <c r="Q52" s="133"/>
      <c r="R52" s="133"/>
      <c r="S52" s="336"/>
      <c r="T52" s="336"/>
      <c r="U52" s="45"/>
      <c r="V52" s="45"/>
      <c r="W52" s="45"/>
      <c r="X52" s="45"/>
      <c r="Y52" s="45"/>
      <c r="Z52" s="45"/>
      <c r="AA52" s="56"/>
      <c r="AB52" s="56"/>
    </row>
    <row r="53" spans="2:28" s="1" customFormat="1" ht="14.1" customHeight="1">
      <c r="B53" s="45"/>
      <c r="C53" s="45"/>
      <c r="D53" s="133"/>
      <c r="E53" s="133"/>
      <c r="F53" s="133"/>
      <c r="G53" s="133"/>
      <c r="H53" s="133"/>
      <c r="I53" s="133"/>
      <c r="J53" s="133"/>
      <c r="K53" s="133"/>
      <c r="L53" s="133"/>
      <c r="M53" s="133"/>
      <c r="N53" s="133"/>
      <c r="O53" s="133"/>
      <c r="P53" s="133"/>
      <c r="Q53" s="133"/>
      <c r="R53" s="133"/>
      <c r="S53" s="45"/>
      <c r="T53" s="45"/>
      <c r="U53" s="48"/>
      <c r="V53" s="331" t="s">
        <v>43</v>
      </c>
      <c r="W53" s="331"/>
      <c r="X53" s="331"/>
      <c r="Y53" s="331"/>
      <c r="Z53" s="49">
        <f>Z51+Z44</f>
        <v>1562069.4320999999</v>
      </c>
      <c r="AA53" s="56" t="s">
        <v>45</v>
      </c>
      <c r="AB53" s="56"/>
    </row>
    <row r="54" spans="2:28" s="1" customFormat="1">
      <c r="B54" s="45"/>
      <c r="C54" s="45"/>
      <c r="D54" s="133"/>
      <c r="E54" s="133"/>
      <c r="F54" s="133"/>
      <c r="G54" s="133"/>
      <c r="H54" s="133"/>
      <c r="I54" s="133"/>
      <c r="J54" s="133"/>
      <c r="K54" s="133"/>
      <c r="L54" s="133"/>
      <c r="M54" s="133"/>
      <c r="N54" s="133"/>
      <c r="O54" s="133"/>
      <c r="P54" s="133"/>
      <c r="Q54" s="133"/>
      <c r="R54" s="133"/>
      <c r="S54" s="45"/>
      <c r="T54" s="45"/>
      <c r="U54" s="50"/>
      <c r="V54" s="45"/>
      <c r="W54" s="45"/>
      <c r="X54" s="45"/>
      <c r="Y54" s="45"/>
      <c r="Z54" s="45"/>
      <c r="AA54" s="56"/>
      <c r="AB54" s="56"/>
    </row>
    <row r="55" spans="2:28" s="1" customFormat="1" ht="14.1" customHeight="1">
      <c r="B55" s="45"/>
      <c r="C55" s="45"/>
      <c r="D55" s="133"/>
      <c r="E55" s="133"/>
      <c r="F55" s="133"/>
      <c r="G55" s="133"/>
      <c r="H55" s="133"/>
      <c r="I55" s="133"/>
      <c r="J55" s="133"/>
      <c r="K55" s="133"/>
      <c r="L55" s="133"/>
      <c r="M55" s="133"/>
      <c r="N55" s="133"/>
      <c r="O55" s="133"/>
      <c r="P55" s="133"/>
      <c r="Q55" s="133"/>
      <c r="R55" s="133"/>
      <c r="S55" s="45"/>
      <c r="T55" s="45"/>
      <c r="U55" s="51"/>
      <c r="V55" s="331" t="s">
        <v>44</v>
      </c>
      <c r="W55" s="331"/>
      <c r="X55" s="331"/>
      <c r="Y55" s="331"/>
      <c r="Z55" s="52">
        <v>1928507</v>
      </c>
      <c r="AA55" s="56"/>
      <c r="AB55" s="56"/>
    </row>
    <row r="56" spans="2:28" s="1" customFormat="1" ht="14.1" customHeight="1">
      <c r="B56" s="45"/>
      <c r="C56" s="45"/>
      <c r="D56" s="133"/>
      <c r="E56" s="133"/>
      <c r="F56" s="133"/>
      <c r="G56" s="133"/>
      <c r="H56" s="133"/>
      <c r="I56" s="133"/>
      <c r="J56" s="133"/>
      <c r="K56" s="133"/>
      <c r="L56" s="133"/>
      <c r="M56" s="133"/>
      <c r="N56" s="133"/>
      <c r="O56" s="133"/>
      <c r="P56" s="133"/>
      <c r="Q56" s="133"/>
      <c r="R56" s="133"/>
      <c r="S56" s="45"/>
      <c r="T56" s="45"/>
      <c r="U56" s="51"/>
      <c r="V56" s="54"/>
      <c r="W56" s="54"/>
      <c r="X56" s="54"/>
      <c r="Y56" s="54"/>
      <c r="Z56" s="55"/>
      <c r="AA56" s="56"/>
      <c r="AB56" s="56"/>
    </row>
    <row r="57" spans="2:28">
      <c r="V57" s="59" t="s">
        <v>46</v>
      </c>
      <c r="W57" s="59"/>
      <c r="X57" s="59"/>
      <c r="Y57" s="59"/>
      <c r="Z57" s="134">
        <f>+U44</f>
        <v>1322151</v>
      </c>
    </row>
    <row r="58" spans="2:28">
      <c r="V58" t="s">
        <v>47</v>
      </c>
      <c r="Z58" s="53">
        <f>+U10</f>
        <v>227844</v>
      </c>
    </row>
    <row r="59" spans="2:28">
      <c r="V59" t="s">
        <v>48</v>
      </c>
      <c r="Z59" s="53">
        <f>+V44+W44+X44+Y44</f>
        <v>259004.16450000001</v>
      </c>
    </row>
    <row r="60" spans="2:28">
      <c r="V60" t="s">
        <v>49</v>
      </c>
      <c r="Z60" s="53">
        <f>+AA44</f>
        <v>119487.19722222222</v>
      </c>
    </row>
    <row r="61" spans="2:28" ht="14.7" thickBot="1"/>
    <row r="62" spans="2:28" ht="14.7" thickBot="1">
      <c r="Z62" s="58">
        <f>SUM(Z57:Z61)</f>
        <v>1928486.3617222221</v>
      </c>
    </row>
    <row r="64" spans="2:28">
      <c r="Z64" s="53">
        <f>+Z55-Z62</f>
        <v>20.63827777793631</v>
      </c>
    </row>
    <row r="66" spans="22:28">
      <c r="X66" t="s">
        <v>188</v>
      </c>
      <c r="Y66" t="s">
        <v>189</v>
      </c>
    </row>
    <row r="67" spans="22:28">
      <c r="X67" s="156" t="s">
        <v>178</v>
      </c>
      <c r="Y67" s="156" t="s">
        <v>179</v>
      </c>
      <c r="Z67" s="156" t="s">
        <v>190</v>
      </c>
    </row>
    <row r="68" spans="22:28">
      <c r="V68" s="158" t="s">
        <v>180</v>
      </c>
      <c r="X68" s="157">
        <f>AA10</f>
        <v>18987</v>
      </c>
      <c r="Y68" s="157">
        <v>0</v>
      </c>
      <c r="Z68" s="157">
        <f>X68+Y68</f>
        <v>18987</v>
      </c>
    </row>
    <row r="69" spans="22:28">
      <c r="V69" s="158" t="s">
        <v>181</v>
      </c>
      <c r="X69" s="157">
        <v>0</v>
      </c>
      <c r="Y69" s="157">
        <v>0</v>
      </c>
      <c r="Z69" s="157">
        <f t="shared" ref="Z69:Z76" si="9">X69+Y69</f>
        <v>0</v>
      </c>
    </row>
    <row r="70" spans="22:28">
      <c r="V70" s="158" t="s">
        <v>182</v>
      </c>
      <c r="X70" s="157">
        <f>U10</f>
        <v>227844</v>
      </c>
      <c r="Y70" s="157">
        <v>0</v>
      </c>
      <c r="Z70" s="157">
        <f t="shared" si="9"/>
        <v>227844</v>
      </c>
    </row>
    <row r="71" spans="22:28">
      <c r="V71" s="158" t="s">
        <v>183</v>
      </c>
      <c r="X71" s="157">
        <v>0</v>
      </c>
      <c r="Y71" s="157">
        <f>U12+U13+U14+U16+U18+U19+U20+U21+U22+U24+U25+U26+U27+U28+U29+U31+U32+U33+U34+U36+U37+U38+U40+U41+U42</f>
        <v>1322151</v>
      </c>
      <c r="Z71" s="157">
        <f t="shared" si="9"/>
        <v>1322151</v>
      </c>
    </row>
    <row r="72" spans="22:28">
      <c r="V72" s="158" t="s">
        <v>184</v>
      </c>
      <c r="X72" s="157">
        <f>V10</f>
        <v>22784.400000000001</v>
      </c>
      <c r="Y72" s="157">
        <f>V12+V13+V14+V16+V18+V19+V20+V21+V22+V24+V25+V26+V27+V28+V29+V31+V32+V33+V34+V36+V37+V38+V40+V41+V42</f>
        <v>132215.1</v>
      </c>
      <c r="Z72" s="157">
        <f t="shared" si="9"/>
        <v>154999.5</v>
      </c>
    </row>
    <row r="73" spans="22:28">
      <c r="V73" s="158" t="s">
        <v>185</v>
      </c>
      <c r="X73" s="157">
        <f>W10</f>
        <v>3896.1324</v>
      </c>
      <c r="Y73" s="157">
        <f>W12+W13+W14+W16+W18+W19+W20+W21+W22+W24+W25+W26+W27+W28+W29+W31+W32+W33+W34+W36+W37+W38+W40+W41+W42</f>
        <v>22608.782099999989</v>
      </c>
      <c r="Z73" s="157">
        <f t="shared" si="9"/>
        <v>26504.914499999988</v>
      </c>
    </row>
    <row r="74" spans="22:28">
      <c r="V74" s="158" t="s">
        <v>186</v>
      </c>
      <c r="X74" s="157">
        <f>X10</f>
        <v>6835.32</v>
      </c>
      <c r="Y74" s="157">
        <f>X12+X13+X14+X16+X18+X19+X20+X21+X22+X24+X25+X26+X27+X28+X29+X31+X32+X33+X34+X36+X37+X38+X40+X41+X42</f>
        <v>39664.53</v>
      </c>
      <c r="Z74" s="157">
        <f t="shared" si="9"/>
        <v>46499.85</v>
      </c>
    </row>
    <row r="75" spans="22:28">
      <c r="V75" s="158" t="s">
        <v>187</v>
      </c>
      <c r="X75" s="157">
        <f>Y10</f>
        <v>4556.88</v>
      </c>
      <c r="Y75" s="157">
        <f>Y12+Y13+Y14+Y16+Y18+Y19+Y20+Y21+Y22+Y24+Y25+Y26+Y27+Y28+Y29+Y31+Y32+Y33+Y34+Y36+Y37+Y38+Y40+Y41+Y42</f>
        <v>26443.020000000004</v>
      </c>
      <c r="Z75" s="157">
        <f t="shared" si="9"/>
        <v>30999.900000000005</v>
      </c>
    </row>
    <row r="76" spans="22:28">
      <c r="V76" s="158" t="s">
        <v>191</v>
      </c>
      <c r="X76" s="157"/>
      <c r="Y76" s="157">
        <f>AA12+AA13+AA14+AA16+AA18+AA19+AA20+AA21+AA22+AA24+AA25+AA27+AA26+AA28+AA29+AA31+AA32+AA33+AA34+AA36+AA37+AA38+AA40+AA41+AA42</f>
        <v>100500.19722222222</v>
      </c>
      <c r="Z76" s="157">
        <f t="shared" si="9"/>
        <v>100500.19722222222</v>
      </c>
    </row>
    <row r="77" spans="22:28">
      <c r="X77" s="157">
        <f>SUM(X68:X76)</f>
        <v>284903.73240000004</v>
      </c>
      <c r="Y77" s="157">
        <f>SUM(Y68:Y76)</f>
        <v>1643582.6293222224</v>
      </c>
      <c r="Z77" s="157">
        <f>SUM(Z68:Z76)</f>
        <v>1928486.3617222221</v>
      </c>
      <c r="AA77" s="53">
        <v>1928507</v>
      </c>
      <c r="AB77" s="53">
        <f>Z77-AA77</f>
        <v>-20.63827777793631</v>
      </c>
    </row>
    <row r="80" spans="22:28">
      <c r="X80" s="156"/>
      <c r="Y80" s="156"/>
      <c r="Z80" s="156"/>
    </row>
    <row r="81" spans="22:26">
      <c r="V81" s="158"/>
      <c r="X81" s="157"/>
      <c r="Y81" s="157"/>
      <c r="Z81" s="157"/>
    </row>
    <row r="82" spans="22:26">
      <c r="V82" s="158"/>
      <c r="X82" s="157"/>
      <c r="Y82" s="157"/>
      <c r="Z82" s="157"/>
    </row>
    <row r="83" spans="22:26">
      <c r="V83" s="158"/>
      <c r="X83" s="157"/>
      <c r="Y83" s="157"/>
      <c r="Z83" s="157"/>
    </row>
    <row r="84" spans="22:26">
      <c r="V84" s="158"/>
      <c r="X84" s="157"/>
      <c r="Y84" s="157"/>
      <c r="Z84" s="157"/>
    </row>
    <row r="85" spans="22:26">
      <c r="V85" s="158"/>
      <c r="X85" s="157"/>
      <c r="Y85" s="157"/>
      <c r="Z85" s="157"/>
    </row>
    <row r="86" spans="22:26">
      <c r="V86" s="158"/>
      <c r="X86" s="157"/>
      <c r="Y86" s="157"/>
      <c r="Z86" s="157"/>
    </row>
    <row r="87" spans="22:26">
      <c r="V87" s="158"/>
      <c r="X87" s="157"/>
      <c r="Y87" s="157"/>
      <c r="Z87" s="157"/>
    </row>
    <row r="88" spans="22:26">
      <c r="V88" s="158"/>
      <c r="X88" s="157"/>
      <c r="Y88" s="157"/>
      <c r="Z88" s="157"/>
    </row>
    <row r="89" spans="22:26">
      <c r="V89" s="158"/>
      <c r="X89" s="157"/>
      <c r="Y89" s="157"/>
      <c r="Z89" s="157"/>
    </row>
    <row r="90" spans="22:26">
      <c r="X90" s="157"/>
      <c r="Y90" s="157"/>
      <c r="Z90" s="157"/>
    </row>
  </sheetData>
  <mergeCells count="18">
    <mergeCell ref="AA5:AA6"/>
    <mergeCell ref="V51:Y51"/>
    <mergeCell ref="S52:T52"/>
    <mergeCell ref="B2:Z2"/>
    <mergeCell ref="V4:Y4"/>
    <mergeCell ref="B5:B6"/>
    <mergeCell ref="C5:C6"/>
    <mergeCell ref="D5:D6"/>
    <mergeCell ref="E5:E6"/>
    <mergeCell ref="F5:F6"/>
    <mergeCell ref="G5:R5"/>
    <mergeCell ref="S5:S6"/>
    <mergeCell ref="T5:T6"/>
    <mergeCell ref="V53:Y53"/>
    <mergeCell ref="V55:Y55"/>
    <mergeCell ref="U5:U6"/>
    <mergeCell ref="V5:Y5"/>
    <mergeCell ref="Z5:Z6"/>
  </mergeCells>
  <pageMargins left="0.51181102362204722" right="0.11811023622047245" top="0.35433070866141736" bottom="0.55118110236220474" header="0.31496062992125984" footer="0.31496062992125984"/>
  <pageSetup scale="60" orientation="landscape" verticalDpi="0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2"/>
  <sheetViews>
    <sheetView workbookViewId="0">
      <selection sqref="A1:N1"/>
    </sheetView>
  </sheetViews>
  <sheetFormatPr baseColWidth="10" defaultRowHeight="13.8"/>
  <cols>
    <col min="1" max="1" width="33.1015625" style="100" customWidth="1"/>
    <col min="2" max="2" width="2.89453125" style="105" customWidth="1"/>
    <col min="3" max="3" width="6.89453125" style="105" customWidth="1"/>
    <col min="4" max="4" width="6.41796875" style="105" customWidth="1"/>
    <col min="5" max="5" width="10" style="100" customWidth="1"/>
    <col min="6" max="6" width="11.89453125" style="100" bestFit="1" customWidth="1"/>
    <col min="7" max="7" width="7.41796875" style="100" customWidth="1"/>
    <col min="8" max="8" width="7.5234375" style="105" customWidth="1"/>
    <col min="9" max="9" width="9.1015625" style="100" bestFit="1" customWidth="1"/>
    <col min="10" max="10" width="8.3125" style="100" customWidth="1"/>
    <col min="11" max="11" width="6.68359375" style="100" customWidth="1"/>
    <col min="12" max="12" width="8.3125" style="100" customWidth="1"/>
    <col min="13" max="13" width="8.68359375" style="100" customWidth="1"/>
    <col min="14" max="14" width="8.41796875" style="100" customWidth="1"/>
    <col min="15" max="256" width="11.41796875" style="100"/>
    <col min="257" max="257" width="33.1015625" style="100" customWidth="1"/>
    <col min="258" max="258" width="2.89453125" style="100" customWidth="1"/>
    <col min="259" max="259" width="6.89453125" style="100" customWidth="1"/>
    <col min="260" max="260" width="6.41796875" style="100" customWidth="1"/>
    <col min="261" max="261" width="10" style="100" customWidth="1"/>
    <col min="262" max="262" width="11.89453125" style="100" bestFit="1" customWidth="1"/>
    <col min="263" max="263" width="7.41796875" style="100" customWidth="1"/>
    <col min="264" max="264" width="7.5234375" style="100" customWidth="1"/>
    <col min="265" max="265" width="9.1015625" style="100" bestFit="1" customWidth="1"/>
    <col min="266" max="266" width="8.3125" style="100" customWidth="1"/>
    <col min="267" max="267" width="6.68359375" style="100" customWidth="1"/>
    <col min="268" max="268" width="8.3125" style="100" customWidth="1"/>
    <col min="269" max="269" width="8.68359375" style="100" customWidth="1"/>
    <col min="270" max="270" width="8.41796875" style="100" customWidth="1"/>
    <col min="271" max="512" width="11.41796875" style="100"/>
    <col min="513" max="513" width="33.1015625" style="100" customWidth="1"/>
    <col min="514" max="514" width="2.89453125" style="100" customWidth="1"/>
    <col min="515" max="515" width="6.89453125" style="100" customWidth="1"/>
    <col min="516" max="516" width="6.41796875" style="100" customWidth="1"/>
    <col min="517" max="517" width="10" style="100" customWidth="1"/>
    <col min="518" max="518" width="11.89453125" style="100" bestFit="1" customWidth="1"/>
    <col min="519" max="519" width="7.41796875" style="100" customWidth="1"/>
    <col min="520" max="520" width="7.5234375" style="100" customWidth="1"/>
    <col min="521" max="521" width="9.1015625" style="100" bestFit="1" customWidth="1"/>
    <col min="522" max="522" width="8.3125" style="100" customWidth="1"/>
    <col min="523" max="523" width="6.68359375" style="100" customWidth="1"/>
    <col min="524" max="524" width="8.3125" style="100" customWidth="1"/>
    <col min="525" max="525" width="8.68359375" style="100" customWidth="1"/>
    <col min="526" max="526" width="8.41796875" style="100" customWidth="1"/>
    <col min="527" max="768" width="11.41796875" style="100"/>
    <col min="769" max="769" width="33.1015625" style="100" customWidth="1"/>
    <col min="770" max="770" width="2.89453125" style="100" customWidth="1"/>
    <col min="771" max="771" width="6.89453125" style="100" customWidth="1"/>
    <col min="772" max="772" width="6.41796875" style="100" customWidth="1"/>
    <col min="773" max="773" width="10" style="100" customWidth="1"/>
    <col min="774" max="774" width="11.89453125" style="100" bestFit="1" customWidth="1"/>
    <col min="775" max="775" width="7.41796875" style="100" customWidth="1"/>
    <col min="776" max="776" width="7.5234375" style="100" customWidth="1"/>
    <col min="777" max="777" width="9.1015625" style="100" bestFit="1" customWidth="1"/>
    <col min="778" max="778" width="8.3125" style="100" customWidth="1"/>
    <col min="779" max="779" width="6.68359375" style="100" customWidth="1"/>
    <col min="780" max="780" width="8.3125" style="100" customWidth="1"/>
    <col min="781" max="781" width="8.68359375" style="100" customWidth="1"/>
    <col min="782" max="782" width="8.41796875" style="100" customWidth="1"/>
    <col min="783" max="1024" width="11.41796875" style="100"/>
    <col min="1025" max="1025" width="33.1015625" style="100" customWidth="1"/>
    <col min="1026" max="1026" width="2.89453125" style="100" customWidth="1"/>
    <col min="1027" max="1027" width="6.89453125" style="100" customWidth="1"/>
    <col min="1028" max="1028" width="6.41796875" style="100" customWidth="1"/>
    <col min="1029" max="1029" width="10" style="100" customWidth="1"/>
    <col min="1030" max="1030" width="11.89453125" style="100" bestFit="1" customWidth="1"/>
    <col min="1031" max="1031" width="7.41796875" style="100" customWidth="1"/>
    <col min="1032" max="1032" width="7.5234375" style="100" customWidth="1"/>
    <col min="1033" max="1033" width="9.1015625" style="100" bestFit="1" customWidth="1"/>
    <col min="1034" max="1034" width="8.3125" style="100" customWidth="1"/>
    <col min="1035" max="1035" width="6.68359375" style="100" customWidth="1"/>
    <col min="1036" max="1036" width="8.3125" style="100" customWidth="1"/>
    <col min="1037" max="1037" width="8.68359375" style="100" customWidth="1"/>
    <col min="1038" max="1038" width="8.41796875" style="100" customWidth="1"/>
    <col min="1039" max="1280" width="11.41796875" style="100"/>
    <col min="1281" max="1281" width="33.1015625" style="100" customWidth="1"/>
    <col min="1282" max="1282" width="2.89453125" style="100" customWidth="1"/>
    <col min="1283" max="1283" width="6.89453125" style="100" customWidth="1"/>
    <col min="1284" max="1284" width="6.41796875" style="100" customWidth="1"/>
    <col min="1285" max="1285" width="10" style="100" customWidth="1"/>
    <col min="1286" max="1286" width="11.89453125" style="100" bestFit="1" customWidth="1"/>
    <col min="1287" max="1287" width="7.41796875" style="100" customWidth="1"/>
    <col min="1288" max="1288" width="7.5234375" style="100" customWidth="1"/>
    <col min="1289" max="1289" width="9.1015625" style="100" bestFit="1" customWidth="1"/>
    <col min="1290" max="1290" width="8.3125" style="100" customWidth="1"/>
    <col min="1291" max="1291" width="6.68359375" style="100" customWidth="1"/>
    <col min="1292" max="1292" width="8.3125" style="100" customWidth="1"/>
    <col min="1293" max="1293" width="8.68359375" style="100" customWidth="1"/>
    <col min="1294" max="1294" width="8.41796875" style="100" customWidth="1"/>
    <col min="1295" max="1536" width="11.41796875" style="100"/>
    <col min="1537" max="1537" width="33.1015625" style="100" customWidth="1"/>
    <col min="1538" max="1538" width="2.89453125" style="100" customWidth="1"/>
    <col min="1539" max="1539" width="6.89453125" style="100" customWidth="1"/>
    <col min="1540" max="1540" width="6.41796875" style="100" customWidth="1"/>
    <col min="1541" max="1541" width="10" style="100" customWidth="1"/>
    <col min="1542" max="1542" width="11.89453125" style="100" bestFit="1" customWidth="1"/>
    <col min="1543" max="1543" width="7.41796875" style="100" customWidth="1"/>
    <col min="1544" max="1544" width="7.5234375" style="100" customWidth="1"/>
    <col min="1545" max="1545" width="9.1015625" style="100" bestFit="1" customWidth="1"/>
    <col min="1546" max="1546" width="8.3125" style="100" customWidth="1"/>
    <col min="1547" max="1547" width="6.68359375" style="100" customWidth="1"/>
    <col min="1548" max="1548" width="8.3125" style="100" customWidth="1"/>
    <col min="1549" max="1549" width="8.68359375" style="100" customWidth="1"/>
    <col min="1550" max="1550" width="8.41796875" style="100" customWidth="1"/>
    <col min="1551" max="1792" width="11.41796875" style="100"/>
    <col min="1793" max="1793" width="33.1015625" style="100" customWidth="1"/>
    <col min="1794" max="1794" width="2.89453125" style="100" customWidth="1"/>
    <col min="1795" max="1795" width="6.89453125" style="100" customWidth="1"/>
    <col min="1796" max="1796" width="6.41796875" style="100" customWidth="1"/>
    <col min="1797" max="1797" width="10" style="100" customWidth="1"/>
    <col min="1798" max="1798" width="11.89453125" style="100" bestFit="1" customWidth="1"/>
    <col min="1799" max="1799" width="7.41796875" style="100" customWidth="1"/>
    <col min="1800" max="1800" width="7.5234375" style="100" customWidth="1"/>
    <col min="1801" max="1801" width="9.1015625" style="100" bestFit="1" customWidth="1"/>
    <col min="1802" max="1802" width="8.3125" style="100" customWidth="1"/>
    <col min="1803" max="1803" width="6.68359375" style="100" customWidth="1"/>
    <col min="1804" max="1804" width="8.3125" style="100" customWidth="1"/>
    <col min="1805" max="1805" width="8.68359375" style="100" customWidth="1"/>
    <col min="1806" max="1806" width="8.41796875" style="100" customWidth="1"/>
    <col min="1807" max="2048" width="11.41796875" style="100"/>
    <col min="2049" max="2049" width="33.1015625" style="100" customWidth="1"/>
    <col min="2050" max="2050" width="2.89453125" style="100" customWidth="1"/>
    <col min="2051" max="2051" width="6.89453125" style="100" customWidth="1"/>
    <col min="2052" max="2052" width="6.41796875" style="100" customWidth="1"/>
    <col min="2053" max="2053" width="10" style="100" customWidth="1"/>
    <col min="2054" max="2054" width="11.89453125" style="100" bestFit="1" customWidth="1"/>
    <col min="2055" max="2055" width="7.41796875" style="100" customWidth="1"/>
    <col min="2056" max="2056" width="7.5234375" style="100" customWidth="1"/>
    <col min="2057" max="2057" width="9.1015625" style="100" bestFit="1" customWidth="1"/>
    <col min="2058" max="2058" width="8.3125" style="100" customWidth="1"/>
    <col min="2059" max="2059" width="6.68359375" style="100" customWidth="1"/>
    <col min="2060" max="2060" width="8.3125" style="100" customWidth="1"/>
    <col min="2061" max="2061" width="8.68359375" style="100" customWidth="1"/>
    <col min="2062" max="2062" width="8.41796875" style="100" customWidth="1"/>
    <col min="2063" max="2304" width="11.41796875" style="100"/>
    <col min="2305" max="2305" width="33.1015625" style="100" customWidth="1"/>
    <col min="2306" max="2306" width="2.89453125" style="100" customWidth="1"/>
    <col min="2307" max="2307" width="6.89453125" style="100" customWidth="1"/>
    <col min="2308" max="2308" width="6.41796875" style="100" customWidth="1"/>
    <col min="2309" max="2309" width="10" style="100" customWidth="1"/>
    <col min="2310" max="2310" width="11.89453125" style="100" bestFit="1" customWidth="1"/>
    <col min="2311" max="2311" width="7.41796875" style="100" customWidth="1"/>
    <col min="2312" max="2312" width="7.5234375" style="100" customWidth="1"/>
    <col min="2313" max="2313" width="9.1015625" style="100" bestFit="1" customWidth="1"/>
    <col min="2314" max="2314" width="8.3125" style="100" customWidth="1"/>
    <col min="2315" max="2315" width="6.68359375" style="100" customWidth="1"/>
    <col min="2316" max="2316" width="8.3125" style="100" customWidth="1"/>
    <col min="2317" max="2317" width="8.68359375" style="100" customWidth="1"/>
    <col min="2318" max="2318" width="8.41796875" style="100" customWidth="1"/>
    <col min="2319" max="2560" width="11.41796875" style="100"/>
    <col min="2561" max="2561" width="33.1015625" style="100" customWidth="1"/>
    <col min="2562" max="2562" width="2.89453125" style="100" customWidth="1"/>
    <col min="2563" max="2563" width="6.89453125" style="100" customWidth="1"/>
    <col min="2564" max="2564" width="6.41796875" style="100" customWidth="1"/>
    <col min="2565" max="2565" width="10" style="100" customWidth="1"/>
    <col min="2566" max="2566" width="11.89453125" style="100" bestFit="1" customWidth="1"/>
    <col min="2567" max="2567" width="7.41796875" style="100" customWidth="1"/>
    <col min="2568" max="2568" width="7.5234375" style="100" customWidth="1"/>
    <col min="2569" max="2569" width="9.1015625" style="100" bestFit="1" customWidth="1"/>
    <col min="2570" max="2570" width="8.3125" style="100" customWidth="1"/>
    <col min="2571" max="2571" width="6.68359375" style="100" customWidth="1"/>
    <col min="2572" max="2572" width="8.3125" style="100" customWidth="1"/>
    <col min="2573" max="2573" width="8.68359375" style="100" customWidth="1"/>
    <col min="2574" max="2574" width="8.41796875" style="100" customWidth="1"/>
    <col min="2575" max="2816" width="11.41796875" style="100"/>
    <col min="2817" max="2817" width="33.1015625" style="100" customWidth="1"/>
    <col min="2818" max="2818" width="2.89453125" style="100" customWidth="1"/>
    <col min="2819" max="2819" width="6.89453125" style="100" customWidth="1"/>
    <col min="2820" max="2820" width="6.41796875" style="100" customWidth="1"/>
    <col min="2821" max="2821" width="10" style="100" customWidth="1"/>
    <col min="2822" max="2822" width="11.89453125" style="100" bestFit="1" customWidth="1"/>
    <col min="2823" max="2823" width="7.41796875" style="100" customWidth="1"/>
    <col min="2824" max="2824" width="7.5234375" style="100" customWidth="1"/>
    <col min="2825" max="2825" width="9.1015625" style="100" bestFit="1" customWidth="1"/>
    <col min="2826" max="2826" width="8.3125" style="100" customWidth="1"/>
    <col min="2827" max="2827" width="6.68359375" style="100" customWidth="1"/>
    <col min="2828" max="2828" width="8.3125" style="100" customWidth="1"/>
    <col min="2829" max="2829" width="8.68359375" style="100" customWidth="1"/>
    <col min="2830" max="2830" width="8.41796875" style="100" customWidth="1"/>
    <col min="2831" max="3072" width="11.41796875" style="100"/>
    <col min="3073" max="3073" width="33.1015625" style="100" customWidth="1"/>
    <col min="3074" max="3074" width="2.89453125" style="100" customWidth="1"/>
    <col min="3075" max="3075" width="6.89453125" style="100" customWidth="1"/>
    <col min="3076" max="3076" width="6.41796875" style="100" customWidth="1"/>
    <col min="3077" max="3077" width="10" style="100" customWidth="1"/>
    <col min="3078" max="3078" width="11.89453125" style="100" bestFit="1" customWidth="1"/>
    <col min="3079" max="3079" width="7.41796875" style="100" customWidth="1"/>
    <col min="3080" max="3080" width="7.5234375" style="100" customWidth="1"/>
    <col min="3081" max="3081" width="9.1015625" style="100" bestFit="1" customWidth="1"/>
    <col min="3082" max="3082" width="8.3125" style="100" customWidth="1"/>
    <col min="3083" max="3083" width="6.68359375" style="100" customWidth="1"/>
    <col min="3084" max="3084" width="8.3125" style="100" customWidth="1"/>
    <col min="3085" max="3085" width="8.68359375" style="100" customWidth="1"/>
    <col min="3086" max="3086" width="8.41796875" style="100" customWidth="1"/>
    <col min="3087" max="3328" width="11.41796875" style="100"/>
    <col min="3329" max="3329" width="33.1015625" style="100" customWidth="1"/>
    <col min="3330" max="3330" width="2.89453125" style="100" customWidth="1"/>
    <col min="3331" max="3331" width="6.89453125" style="100" customWidth="1"/>
    <col min="3332" max="3332" width="6.41796875" style="100" customWidth="1"/>
    <col min="3333" max="3333" width="10" style="100" customWidth="1"/>
    <col min="3334" max="3334" width="11.89453125" style="100" bestFit="1" customWidth="1"/>
    <col min="3335" max="3335" width="7.41796875" style="100" customWidth="1"/>
    <col min="3336" max="3336" width="7.5234375" style="100" customWidth="1"/>
    <col min="3337" max="3337" width="9.1015625" style="100" bestFit="1" customWidth="1"/>
    <col min="3338" max="3338" width="8.3125" style="100" customWidth="1"/>
    <col min="3339" max="3339" width="6.68359375" style="100" customWidth="1"/>
    <col min="3340" max="3340" width="8.3125" style="100" customWidth="1"/>
    <col min="3341" max="3341" width="8.68359375" style="100" customWidth="1"/>
    <col min="3342" max="3342" width="8.41796875" style="100" customWidth="1"/>
    <col min="3343" max="3584" width="11.41796875" style="100"/>
    <col min="3585" max="3585" width="33.1015625" style="100" customWidth="1"/>
    <col min="3586" max="3586" width="2.89453125" style="100" customWidth="1"/>
    <col min="3587" max="3587" width="6.89453125" style="100" customWidth="1"/>
    <col min="3588" max="3588" width="6.41796875" style="100" customWidth="1"/>
    <col min="3589" max="3589" width="10" style="100" customWidth="1"/>
    <col min="3590" max="3590" width="11.89453125" style="100" bestFit="1" customWidth="1"/>
    <col min="3591" max="3591" width="7.41796875" style="100" customWidth="1"/>
    <col min="3592" max="3592" width="7.5234375" style="100" customWidth="1"/>
    <col min="3593" max="3593" width="9.1015625" style="100" bestFit="1" customWidth="1"/>
    <col min="3594" max="3594" width="8.3125" style="100" customWidth="1"/>
    <col min="3595" max="3595" width="6.68359375" style="100" customWidth="1"/>
    <col min="3596" max="3596" width="8.3125" style="100" customWidth="1"/>
    <col min="3597" max="3597" width="8.68359375" style="100" customWidth="1"/>
    <col min="3598" max="3598" width="8.41796875" style="100" customWidth="1"/>
    <col min="3599" max="3840" width="11.41796875" style="100"/>
    <col min="3841" max="3841" width="33.1015625" style="100" customWidth="1"/>
    <col min="3842" max="3842" width="2.89453125" style="100" customWidth="1"/>
    <col min="3843" max="3843" width="6.89453125" style="100" customWidth="1"/>
    <col min="3844" max="3844" width="6.41796875" style="100" customWidth="1"/>
    <col min="3845" max="3845" width="10" style="100" customWidth="1"/>
    <col min="3846" max="3846" width="11.89453125" style="100" bestFit="1" customWidth="1"/>
    <col min="3847" max="3847" width="7.41796875" style="100" customWidth="1"/>
    <col min="3848" max="3848" width="7.5234375" style="100" customWidth="1"/>
    <col min="3849" max="3849" width="9.1015625" style="100" bestFit="1" customWidth="1"/>
    <col min="3850" max="3850" width="8.3125" style="100" customWidth="1"/>
    <col min="3851" max="3851" width="6.68359375" style="100" customWidth="1"/>
    <col min="3852" max="3852" width="8.3125" style="100" customWidth="1"/>
    <col min="3853" max="3853" width="8.68359375" style="100" customWidth="1"/>
    <col min="3854" max="3854" width="8.41796875" style="100" customWidth="1"/>
    <col min="3855" max="4096" width="11.41796875" style="100"/>
    <col min="4097" max="4097" width="33.1015625" style="100" customWidth="1"/>
    <col min="4098" max="4098" width="2.89453125" style="100" customWidth="1"/>
    <col min="4099" max="4099" width="6.89453125" style="100" customWidth="1"/>
    <col min="4100" max="4100" width="6.41796875" style="100" customWidth="1"/>
    <col min="4101" max="4101" width="10" style="100" customWidth="1"/>
    <col min="4102" max="4102" width="11.89453125" style="100" bestFit="1" customWidth="1"/>
    <col min="4103" max="4103" width="7.41796875" style="100" customWidth="1"/>
    <col min="4104" max="4104" width="7.5234375" style="100" customWidth="1"/>
    <col min="4105" max="4105" width="9.1015625" style="100" bestFit="1" customWidth="1"/>
    <col min="4106" max="4106" width="8.3125" style="100" customWidth="1"/>
    <col min="4107" max="4107" width="6.68359375" style="100" customWidth="1"/>
    <col min="4108" max="4108" width="8.3125" style="100" customWidth="1"/>
    <col min="4109" max="4109" width="8.68359375" style="100" customWidth="1"/>
    <col min="4110" max="4110" width="8.41796875" style="100" customWidth="1"/>
    <col min="4111" max="4352" width="11.41796875" style="100"/>
    <col min="4353" max="4353" width="33.1015625" style="100" customWidth="1"/>
    <col min="4354" max="4354" width="2.89453125" style="100" customWidth="1"/>
    <col min="4355" max="4355" width="6.89453125" style="100" customWidth="1"/>
    <col min="4356" max="4356" width="6.41796875" style="100" customWidth="1"/>
    <col min="4357" max="4357" width="10" style="100" customWidth="1"/>
    <col min="4358" max="4358" width="11.89453125" style="100" bestFit="1" customWidth="1"/>
    <col min="4359" max="4359" width="7.41796875" style="100" customWidth="1"/>
    <col min="4360" max="4360" width="7.5234375" style="100" customWidth="1"/>
    <col min="4361" max="4361" width="9.1015625" style="100" bestFit="1" customWidth="1"/>
    <col min="4362" max="4362" width="8.3125" style="100" customWidth="1"/>
    <col min="4363" max="4363" width="6.68359375" style="100" customWidth="1"/>
    <col min="4364" max="4364" width="8.3125" style="100" customWidth="1"/>
    <col min="4365" max="4365" width="8.68359375" style="100" customWidth="1"/>
    <col min="4366" max="4366" width="8.41796875" style="100" customWidth="1"/>
    <col min="4367" max="4608" width="11.41796875" style="100"/>
    <col min="4609" max="4609" width="33.1015625" style="100" customWidth="1"/>
    <col min="4610" max="4610" width="2.89453125" style="100" customWidth="1"/>
    <col min="4611" max="4611" width="6.89453125" style="100" customWidth="1"/>
    <col min="4612" max="4612" width="6.41796875" style="100" customWidth="1"/>
    <col min="4613" max="4613" width="10" style="100" customWidth="1"/>
    <col min="4614" max="4614" width="11.89453125" style="100" bestFit="1" customWidth="1"/>
    <col min="4615" max="4615" width="7.41796875" style="100" customWidth="1"/>
    <col min="4616" max="4616" width="7.5234375" style="100" customWidth="1"/>
    <col min="4617" max="4617" width="9.1015625" style="100" bestFit="1" customWidth="1"/>
    <col min="4618" max="4618" width="8.3125" style="100" customWidth="1"/>
    <col min="4619" max="4619" width="6.68359375" style="100" customWidth="1"/>
    <col min="4620" max="4620" width="8.3125" style="100" customWidth="1"/>
    <col min="4621" max="4621" width="8.68359375" style="100" customWidth="1"/>
    <col min="4622" max="4622" width="8.41796875" style="100" customWidth="1"/>
    <col min="4623" max="4864" width="11.41796875" style="100"/>
    <col min="4865" max="4865" width="33.1015625" style="100" customWidth="1"/>
    <col min="4866" max="4866" width="2.89453125" style="100" customWidth="1"/>
    <col min="4867" max="4867" width="6.89453125" style="100" customWidth="1"/>
    <col min="4868" max="4868" width="6.41796875" style="100" customWidth="1"/>
    <col min="4869" max="4869" width="10" style="100" customWidth="1"/>
    <col min="4870" max="4870" width="11.89453125" style="100" bestFit="1" customWidth="1"/>
    <col min="4871" max="4871" width="7.41796875" style="100" customWidth="1"/>
    <col min="4872" max="4872" width="7.5234375" style="100" customWidth="1"/>
    <col min="4873" max="4873" width="9.1015625" style="100" bestFit="1" customWidth="1"/>
    <col min="4874" max="4874" width="8.3125" style="100" customWidth="1"/>
    <col min="4875" max="4875" width="6.68359375" style="100" customWidth="1"/>
    <col min="4876" max="4876" width="8.3125" style="100" customWidth="1"/>
    <col min="4877" max="4877" width="8.68359375" style="100" customWidth="1"/>
    <col min="4878" max="4878" width="8.41796875" style="100" customWidth="1"/>
    <col min="4879" max="5120" width="11.41796875" style="100"/>
    <col min="5121" max="5121" width="33.1015625" style="100" customWidth="1"/>
    <col min="5122" max="5122" width="2.89453125" style="100" customWidth="1"/>
    <col min="5123" max="5123" width="6.89453125" style="100" customWidth="1"/>
    <col min="5124" max="5124" width="6.41796875" style="100" customWidth="1"/>
    <col min="5125" max="5125" width="10" style="100" customWidth="1"/>
    <col min="5126" max="5126" width="11.89453125" style="100" bestFit="1" customWidth="1"/>
    <col min="5127" max="5127" width="7.41796875" style="100" customWidth="1"/>
    <col min="5128" max="5128" width="7.5234375" style="100" customWidth="1"/>
    <col min="5129" max="5129" width="9.1015625" style="100" bestFit="1" customWidth="1"/>
    <col min="5130" max="5130" width="8.3125" style="100" customWidth="1"/>
    <col min="5131" max="5131" width="6.68359375" style="100" customWidth="1"/>
    <col min="5132" max="5132" width="8.3125" style="100" customWidth="1"/>
    <col min="5133" max="5133" width="8.68359375" style="100" customWidth="1"/>
    <col min="5134" max="5134" width="8.41796875" style="100" customWidth="1"/>
    <col min="5135" max="5376" width="11.41796875" style="100"/>
    <col min="5377" max="5377" width="33.1015625" style="100" customWidth="1"/>
    <col min="5378" max="5378" width="2.89453125" style="100" customWidth="1"/>
    <col min="5379" max="5379" width="6.89453125" style="100" customWidth="1"/>
    <col min="5380" max="5380" width="6.41796875" style="100" customWidth="1"/>
    <col min="5381" max="5381" width="10" style="100" customWidth="1"/>
    <col min="5382" max="5382" width="11.89453125" style="100" bestFit="1" customWidth="1"/>
    <col min="5383" max="5383" width="7.41796875" style="100" customWidth="1"/>
    <col min="5384" max="5384" width="7.5234375" style="100" customWidth="1"/>
    <col min="5385" max="5385" width="9.1015625" style="100" bestFit="1" customWidth="1"/>
    <col min="5386" max="5386" width="8.3125" style="100" customWidth="1"/>
    <col min="5387" max="5387" width="6.68359375" style="100" customWidth="1"/>
    <col min="5388" max="5388" width="8.3125" style="100" customWidth="1"/>
    <col min="5389" max="5389" width="8.68359375" style="100" customWidth="1"/>
    <col min="5390" max="5390" width="8.41796875" style="100" customWidth="1"/>
    <col min="5391" max="5632" width="11.41796875" style="100"/>
    <col min="5633" max="5633" width="33.1015625" style="100" customWidth="1"/>
    <col min="5634" max="5634" width="2.89453125" style="100" customWidth="1"/>
    <col min="5635" max="5635" width="6.89453125" style="100" customWidth="1"/>
    <col min="5636" max="5636" width="6.41796875" style="100" customWidth="1"/>
    <col min="5637" max="5637" width="10" style="100" customWidth="1"/>
    <col min="5638" max="5638" width="11.89453125" style="100" bestFit="1" customWidth="1"/>
    <col min="5639" max="5639" width="7.41796875" style="100" customWidth="1"/>
    <col min="5640" max="5640" width="7.5234375" style="100" customWidth="1"/>
    <col min="5641" max="5641" width="9.1015625" style="100" bestFit="1" customWidth="1"/>
    <col min="5642" max="5642" width="8.3125" style="100" customWidth="1"/>
    <col min="5643" max="5643" width="6.68359375" style="100" customWidth="1"/>
    <col min="5644" max="5644" width="8.3125" style="100" customWidth="1"/>
    <col min="5645" max="5645" width="8.68359375" style="100" customWidth="1"/>
    <col min="5646" max="5646" width="8.41796875" style="100" customWidth="1"/>
    <col min="5647" max="5888" width="11.41796875" style="100"/>
    <col min="5889" max="5889" width="33.1015625" style="100" customWidth="1"/>
    <col min="5890" max="5890" width="2.89453125" style="100" customWidth="1"/>
    <col min="5891" max="5891" width="6.89453125" style="100" customWidth="1"/>
    <col min="5892" max="5892" width="6.41796875" style="100" customWidth="1"/>
    <col min="5893" max="5893" width="10" style="100" customWidth="1"/>
    <col min="5894" max="5894" width="11.89453125" style="100" bestFit="1" customWidth="1"/>
    <col min="5895" max="5895" width="7.41796875" style="100" customWidth="1"/>
    <col min="5896" max="5896" width="7.5234375" style="100" customWidth="1"/>
    <col min="5897" max="5897" width="9.1015625" style="100" bestFit="1" customWidth="1"/>
    <col min="5898" max="5898" width="8.3125" style="100" customWidth="1"/>
    <col min="5899" max="5899" width="6.68359375" style="100" customWidth="1"/>
    <col min="5900" max="5900" width="8.3125" style="100" customWidth="1"/>
    <col min="5901" max="5901" width="8.68359375" style="100" customWidth="1"/>
    <col min="5902" max="5902" width="8.41796875" style="100" customWidth="1"/>
    <col min="5903" max="6144" width="11.41796875" style="100"/>
    <col min="6145" max="6145" width="33.1015625" style="100" customWidth="1"/>
    <col min="6146" max="6146" width="2.89453125" style="100" customWidth="1"/>
    <col min="6147" max="6147" width="6.89453125" style="100" customWidth="1"/>
    <col min="6148" max="6148" width="6.41796875" style="100" customWidth="1"/>
    <col min="6149" max="6149" width="10" style="100" customWidth="1"/>
    <col min="6150" max="6150" width="11.89453125" style="100" bestFit="1" customWidth="1"/>
    <col min="6151" max="6151" width="7.41796875" style="100" customWidth="1"/>
    <col min="6152" max="6152" width="7.5234375" style="100" customWidth="1"/>
    <col min="6153" max="6153" width="9.1015625" style="100" bestFit="1" customWidth="1"/>
    <col min="6154" max="6154" width="8.3125" style="100" customWidth="1"/>
    <col min="6155" max="6155" width="6.68359375" style="100" customWidth="1"/>
    <col min="6156" max="6156" width="8.3125" style="100" customWidth="1"/>
    <col min="6157" max="6157" width="8.68359375" style="100" customWidth="1"/>
    <col min="6158" max="6158" width="8.41796875" style="100" customWidth="1"/>
    <col min="6159" max="6400" width="11.41796875" style="100"/>
    <col min="6401" max="6401" width="33.1015625" style="100" customWidth="1"/>
    <col min="6402" max="6402" width="2.89453125" style="100" customWidth="1"/>
    <col min="6403" max="6403" width="6.89453125" style="100" customWidth="1"/>
    <col min="6404" max="6404" width="6.41796875" style="100" customWidth="1"/>
    <col min="6405" max="6405" width="10" style="100" customWidth="1"/>
    <col min="6406" max="6406" width="11.89453125" style="100" bestFit="1" customWidth="1"/>
    <col min="6407" max="6407" width="7.41796875" style="100" customWidth="1"/>
    <col min="6408" max="6408" width="7.5234375" style="100" customWidth="1"/>
    <col min="6409" max="6409" width="9.1015625" style="100" bestFit="1" customWidth="1"/>
    <col min="6410" max="6410" width="8.3125" style="100" customWidth="1"/>
    <col min="6411" max="6411" width="6.68359375" style="100" customWidth="1"/>
    <col min="6412" max="6412" width="8.3125" style="100" customWidth="1"/>
    <col min="6413" max="6413" width="8.68359375" style="100" customWidth="1"/>
    <col min="6414" max="6414" width="8.41796875" style="100" customWidth="1"/>
    <col min="6415" max="6656" width="11.41796875" style="100"/>
    <col min="6657" max="6657" width="33.1015625" style="100" customWidth="1"/>
    <col min="6658" max="6658" width="2.89453125" style="100" customWidth="1"/>
    <col min="6659" max="6659" width="6.89453125" style="100" customWidth="1"/>
    <col min="6660" max="6660" width="6.41796875" style="100" customWidth="1"/>
    <col min="6661" max="6661" width="10" style="100" customWidth="1"/>
    <col min="6662" max="6662" width="11.89453125" style="100" bestFit="1" customWidth="1"/>
    <col min="6663" max="6663" width="7.41796875" style="100" customWidth="1"/>
    <col min="6664" max="6664" width="7.5234375" style="100" customWidth="1"/>
    <col min="6665" max="6665" width="9.1015625" style="100" bestFit="1" customWidth="1"/>
    <col min="6666" max="6666" width="8.3125" style="100" customWidth="1"/>
    <col min="6667" max="6667" width="6.68359375" style="100" customWidth="1"/>
    <col min="6668" max="6668" width="8.3125" style="100" customWidth="1"/>
    <col min="6669" max="6669" width="8.68359375" style="100" customWidth="1"/>
    <col min="6670" max="6670" width="8.41796875" style="100" customWidth="1"/>
    <col min="6671" max="6912" width="11.41796875" style="100"/>
    <col min="6913" max="6913" width="33.1015625" style="100" customWidth="1"/>
    <col min="6914" max="6914" width="2.89453125" style="100" customWidth="1"/>
    <col min="6915" max="6915" width="6.89453125" style="100" customWidth="1"/>
    <col min="6916" max="6916" width="6.41796875" style="100" customWidth="1"/>
    <col min="6917" max="6917" width="10" style="100" customWidth="1"/>
    <col min="6918" max="6918" width="11.89453125" style="100" bestFit="1" customWidth="1"/>
    <col min="6919" max="6919" width="7.41796875" style="100" customWidth="1"/>
    <col min="6920" max="6920" width="7.5234375" style="100" customWidth="1"/>
    <col min="6921" max="6921" width="9.1015625" style="100" bestFit="1" customWidth="1"/>
    <col min="6922" max="6922" width="8.3125" style="100" customWidth="1"/>
    <col min="6923" max="6923" width="6.68359375" style="100" customWidth="1"/>
    <col min="6924" max="6924" width="8.3125" style="100" customWidth="1"/>
    <col min="6925" max="6925" width="8.68359375" style="100" customWidth="1"/>
    <col min="6926" max="6926" width="8.41796875" style="100" customWidth="1"/>
    <col min="6927" max="7168" width="11.41796875" style="100"/>
    <col min="7169" max="7169" width="33.1015625" style="100" customWidth="1"/>
    <col min="7170" max="7170" width="2.89453125" style="100" customWidth="1"/>
    <col min="7171" max="7171" width="6.89453125" style="100" customWidth="1"/>
    <col min="7172" max="7172" width="6.41796875" style="100" customWidth="1"/>
    <col min="7173" max="7173" width="10" style="100" customWidth="1"/>
    <col min="7174" max="7174" width="11.89453125" style="100" bestFit="1" customWidth="1"/>
    <col min="7175" max="7175" width="7.41796875" style="100" customWidth="1"/>
    <col min="7176" max="7176" width="7.5234375" style="100" customWidth="1"/>
    <col min="7177" max="7177" width="9.1015625" style="100" bestFit="1" customWidth="1"/>
    <col min="7178" max="7178" width="8.3125" style="100" customWidth="1"/>
    <col min="7179" max="7179" width="6.68359375" style="100" customWidth="1"/>
    <col min="7180" max="7180" width="8.3125" style="100" customWidth="1"/>
    <col min="7181" max="7181" width="8.68359375" style="100" customWidth="1"/>
    <col min="7182" max="7182" width="8.41796875" style="100" customWidth="1"/>
    <col min="7183" max="7424" width="11.41796875" style="100"/>
    <col min="7425" max="7425" width="33.1015625" style="100" customWidth="1"/>
    <col min="7426" max="7426" width="2.89453125" style="100" customWidth="1"/>
    <col min="7427" max="7427" width="6.89453125" style="100" customWidth="1"/>
    <col min="7428" max="7428" width="6.41796875" style="100" customWidth="1"/>
    <col min="7429" max="7429" width="10" style="100" customWidth="1"/>
    <col min="7430" max="7430" width="11.89453125" style="100" bestFit="1" customWidth="1"/>
    <col min="7431" max="7431" width="7.41796875" style="100" customWidth="1"/>
    <col min="7432" max="7432" width="7.5234375" style="100" customWidth="1"/>
    <col min="7433" max="7433" width="9.1015625" style="100" bestFit="1" customWidth="1"/>
    <col min="7434" max="7434" width="8.3125" style="100" customWidth="1"/>
    <col min="7435" max="7435" width="6.68359375" style="100" customWidth="1"/>
    <col min="7436" max="7436" width="8.3125" style="100" customWidth="1"/>
    <col min="7437" max="7437" width="8.68359375" style="100" customWidth="1"/>
    <col min="7438" max="7438" width="8.41796875" style="100" customWidth="1"/>
    <col min="7439" max="7680" width="11.41796875" style="100"/>
    <col min="7681" max="7681" width="33.1015625" style="100" customWidth="1"/>
    <col min="7682" max="7682" width="2.89453125" style="100" customWidth="1"/>
    <col min="7683" max="7683" width="6.89453125" style="100" customWidth="1"/>
    <col min="7684" max="7684" width="6.41796875" style="100" customWidth="1"/>
    <col min="7685" max="7685" width="10" style="100" customWidth="1"/>
    <col min="7686" max="7686" width="11.89453125" style="100" bestFit="1" customWidth="1"/>
    <col min="7687" max="7687" width="7.41796875" style="100" customWidth="1"/>
    <col min="7688" max="7688" width="7.5234375" style="100" customWidth="1"/>
    <col min="7689" max="7689" width="9.1015625" style="100" bestFit="1" customWidth="1"/>
    <col min="7690" max="7690" width="8.3125" style="100" customWidth="1"/>
    <col min="7691" max="7691" width="6.68359375" style="100" customWidth="1"/>
    <col min="7692" max="7692" width="8.3125" style="100" customWidth="1"/>
    <col min="7693" max="7693" width="8.68359375" style="100" customWidth="1"/>
    <col min="7694" max="7694" width="8.41796875" style="100" customWidth="1"/>
    <col min="7695" max="7936" width="11.41796875" style="100"/>
    <col min="7937" max="7937" width="33.1015625" style="100" customWidth="1"/>
    <col min="7938" max="7938" width="2.89453125" style="100" customWidth="1"/>
    <col min="7939" max="7939" width="6.89453125" style="100" customWidth="1"/>
    <col min="7940" max="7940" width="6.41796875" style="100" customWidth="1"/>
    <col min="7941" max="7941" width="10" style="100" customWidth="1"/>
    <col min="7942" max="7942" width="11.89453125" style="100" bestFit="1" customWidth="1"/>
    <col min="7943" max="7943" width="7.41796875" style="100" customWidth="1"/>
    <col min="7944" max="7944" width="7.5234375" style="100" customWidth="1"/>
    <col min="7945" max="7945" width="9.1015625" style="100" bestFit="1" customWidth="1"/>
    <col min="7946" max="7946" width="8.3125" style="100" customWidth="1"/>
    <col min="7947" max="7947" width="6.68359375" style="100" customWidth="1"/>
    <col min="7948" max="7948" width="8.3125" style="100" customWidth="1"/>
    <col min="7949" max="7949" width="8.68359375" style="100" customWidth="1"/>
    <col min="7950" max="7950" width="8.41796875" style="100" customWidth="1"/>
    <col min="7951" max="8192" width="11.41796875" style="100"/>
    <col min="8193" max="8193" width="33.1015625" style="100" customWidth="1"/>
    <col min="8194" max="8194" width="2.89453125" style="100" customWidth="1"/>
    <col min="8195" max="8195" width="6.89453125" style="100" customWidth="1"/>
    <col min="8196" max="8196" width="6.41796875" style="100" customWidth="1"/>
    <col min="8197" max="8197" width="10" style="100" customWidth="1"/>
    <col min="8198" max="8198" width="11.89453125" style="100" bestFit="1" customWidth="1"/>
    <col min="8199" max="8199" width="7.41796875" style="100" customWidth="1"/>
    <col min="8200" max="8200" width="7.5234375" style="100" customWidth="1"/>
    <col min="8201" max="8201" width="9.1015625" style="100" bestFit="1" customWidth="1"/>
    <col min="8202" max="8202" width="8.3125" style="100" customWidth="1"/>
    <col min="8203" max="8203" width="6.68359375" style="100" customWidth="1"/>
    <col min="8204" max="8204" width="8.3125" style="100" customWidth="1"/>
    <col min="8205" max="8205" width="8.68359375" style="100" customWidth="1"/>
    <col min="8206" max="8206" width="8.41796875" style="100" customWidth="1"/>
    <col min="8207" max="8448" width="11.41796875" style="100"/>
    <col min="8449" max="8449" width="33.1015625" style="100" customWidth="1"/>
    <col min="8450" max="8450" width="2.89453125" style="100" customWidth="1"/>
    <col min="8451" max="8451" width="6.89453125" style="100" customWidth="1"/>
    <col min="8452" max="8452" width="6.41796875" style="100" customWidth="1"/>
    <col min="8453" max="8453" width="10" style="100" customWidth="1"/>
    <col min="8454" max="8454" width="11.89453125" style="100" bestFit="1" customWidth="1"/>
    <col min="8455" max="8455" width="7.41796875" style="100" customWidth="1"/>
    <col min="8456" max="8456" width="7.5234375" style="100" customWidth="1"/>
    <col min="8457" max="8457" width="9.1015625" style="100" bestFit="1" customWidth="1"/>
    <col min="8458" max="8458" width="8.3125" style="100" customWidth="1"/>
    <col min="8459" max="8459" width="6.68359375" style="100" customWidth="1"/>
    <col min="8460" max="8460" width="8.3125" style="100" customWidth="1"/>
    <col min="8461" max="8461" width="8.68359375" style="100" customWidth="1"/>
    <col min="8462" max="8462" width="8.41796875" style="100" customWidth="1"/>
    <col min="8463" max="8704" width="11.41796875" style="100"/>
    <col min="8705" max="8705" width="33.1015625" style="100" customWidth="1"/>
    <col min="8706" max="8706" width="2.89453125" style="100" customWidth="1"/>
    <col min="8707" max="8707" width="6.89453125" style="100" customWidth="1"/>
    <col min="8708" max="8708" width="6.41796875" style="100" customWidth="1"/>
    <col min="8709" max="8709" width="10" style="100" customWidth="1"/>
    <col min="8710" max="8710" width="11.89453125" style="100" bestFit="1" customWidth="1"/>
    <col min="8711" max="8711" width="7.41796875" style="100" customWidth="1"/>
    <col min="8712" max="8712" width="7.5234375" style="100" customWidth="1"/>
    <col min="8713" max="8713" width="9.1015625" style="100" bestFit="1" customWidth="1"/>
    <col min="8714" max="8714" width="8.3125" style="100" customWidth="1"/>
    <col min="8715" max="8715" width="6.68359375" style="100" customWidth="1"/>
    <col min="8716" max="8716" width="8.3125" style="100" customWidth="1"/>
    <col min="8717" max="8717" width="8.68359375" style="100" customWidth="1"/>
    <col min="8718" max="8718" width="8.41796875" style="100" customWidth="1"/>
    <col min="8719" max="8960" width="11.41796875" style="100"/>
    <col min="8961" max="8961" width="33.1015625" style="100" customWidth="1"/>
    <col min="8962" max="8962" width="2.89453125" style="100" customWidth="1"/>
    <col min="8963" max="8963" width="6.89453125" style="100" customWidth="1"/>
    <col min="8964" max="8964" width="6.41796875" style="100" customWidth="1"/>
    <col min="8965" max="8965" width="10" style="100" customWidth="1"/>
    <col min="8966" max="8966" width="11.89453125" style="100" bestFit="1" customWidth="1"/>
    <col min="8967" max="8967" width="7.41796875" style="100" customWidth="1"/>
    <col min="8968" max="8968" width="7.5234375" style="100" customWidth="1"/>
    <col min="8969" max="8969" width="9.1015625" style="100" bestFit="1" customWidth="1"/>
    <col min="8970" max="8970" width="8.3125" style="100" customWidth="1"/>
    <col min="8971" max="8971" width="6.68359375" style="100" customWidth="1"/>
    <col min="8972" max="8972" width="8.3125" style="100" customWidth="1"/>
    <col min="8973" max="8973" width="8.68359375" style="100" customWidth="1"/>
    <col min="8974" max="8974" width="8.41796875" style="100" customWidth="1"/>
    <col min="8975" max="9216" width="11.41796875" style="100"/>
    <col min="9217" max="9217" width="33.1015625" style="100" customWidth="1"/>
    <col min="9218" max="9218" width="2.89453125" style="100" customWidth="1"/>
    <col min="9219" max="9219" width="6.89453125" style="100" customWidth="1"/>
    <col min="9220" max="9220" width="6.41796875" style="100" customWidth="1"/>
    <col min="9221" max="9221" width="10" style="100" customWidth="1"/>
    <col min="9222" max="9222" width="11.89453125" style="100" bestFit="1" customWidth="1"/>
    <col min="9223" max="9223" width="7.41796875" style="100" customWidth="1"/>
    <col min="9224" max="9224" width="7.5234375" style="100" customWidth="1"/>
    <col min="9225" max="9225" width="9.1015625" style="100" bestFit="1" customWidth="1"/>
    <col min="9226" max="9226" width="8.3125" style="100" customWidth="1"/>
    <col min="9227" max="9227" width="6.68359375" style="100" customWidth="1"/>
    <col min="9228" max="9228" width="8.3125" style="100" customWidth="1"/>
    <col min="9229" max="9229" width="8.68359375" style="100" customWidth="1"/>
    <col min="9230" max="9230" width="8.41796875" style="100" customWidth="1"/>
    <col min="9231" max="9472" width="11.41796875" style="100"/>
    <col min="9473" max="9473" width="33.1015625" style="100" customWidth="1"/>
    <col min="9474" max="9474" width="2.89453125" style="100" customWidth="1"/>
    <col min="9475" max="9475" width="6.89453125" style="100" customWidth="1"/>
    <col min="9476" max="9476" width="6.41796875" style="100" customWidth="1"/>
    <col min="9477" max="9477" width="10" style="100" customWidth="1"/>
    <col min="9478" max="9478" width="11.89453125" style="100" bestFit="1" customWidth="1"/>
    <col min="9479" max="9479" width="7.41796875" style="100" customWidth="1"/>
    <col min="9480" max="9480" width="7.5234375" style="100" customWidth="1"/>
    <col min="9481" max="9481" width="9.1015625" style="100" bestFit="1" customWidth="1"/>
    <col min="9482" max="9482" width="8.3125" style="100" customWidth="1"/>
    <col min="9483" max="9483" width="6.68359375" style="100" customWidth="1"/>
    <col min="9484" max="9484" width="8.3125" style="100" customWidth="1"/>
    <col min="9485" max="9485" width="8.68359375" style="100" customWidth="1"/>
    <col min="9486" max="9486" width="8.41796875" style="100" customWidth="1"/>
    <col min="9487" max="9728" width="11.41796875" style="100"/>
    <col min="9729" max="9729" width="33.1015625" style="100" customWidth="1"/>
    <col min="9730" max="9730" width="2.89453125" style="100" customWidth="1"/>
    <col min="9731" max="9731" width="6.89453125" style="100" customWidth="1"/>
    <col min="9732" max="9732" width="6.41796875" style="100" customWidth="1"/>
    <col min="9733" max="9733" width="10" style="100" customWidth="1"/>
    <col min="9734" max="9734" width="11.89453125" style="100" bestFit="1" customWidth="1"/>
    <col min="9735" max="9735" width="7.41796875" style="100" customWidth="1"/>
    <col min="9736" max="9736" width="7.5234375" style="100" customWidth="1"/>
    <col min="9737" max="9737" width="9.1015625" style="100" bestFit="1" customWidth="1"/>
    <col min="9738" max="9738" width="8.3125" style="100" customWidth="1"/>
    <col min="9739" max="9739" width="6.68359375" style="100" customWidth="1"/>
    <col min="9740" max="9740" width="8.3125" style="100" customWidth="1"/>
    <col min="9741" max="9741" width="8.68359375" style="100" customWidth="1"/>
    <col min="9742" max="9742" width="8.41796875" style="100" customWidth="1"/>
    <col min="9743" max="9984" width="11.41796875" style="100"/>
    <col min="9985" max="9985" width="33.1015625" style="100" customWidth="1"/>
    <col min="9986" max="9986" width="2.89453125" style="100" customWidth="1"/>
    <col min="9987" max="9987" width="6.89453125" style="100" customWidth="1"/>
    <col min="9988" max="9988" width="6.41796875" style="100" customWidth="1"/>
    <col min="9989" max="9989" width="10" style="100" customWidth="1"/>
    <col min="9990" max="9990" width="11.89453125" style="100" bestFit="1" customWidth="1"/>
    <col min="9991" max="9991" width="7.41796875" style="100" customWidth="1"/>
    <col min="9992" max="9992" width="7.5234375" style="100" customWidth="1"/>
    <col min="9993" max="9993" width="9.1015625" style="100" bestFit="1" customWidth="1"/>
    <col min="9994" max="9994" width="8.3125" style="100" customWidth="1"/>
    <col min="9995" max="9995" width="6.68359375" style="100" customWidth="1"/>
    <col min="9996" max="9996" width="8.3125" style="100" customWidth="1"/>
    <col min="9997" max="9997" width="8.68359375" style="100" customWidth="1"/>
    <col min="9998" max="9998" width="8.41796875" style="100" customWidth="1"/>
    <col min="9999" max="10240" width="11.41796875" style="100"/>
    <col min="10241" max="10241" width="33.1015625" style="100" customWidth="1"/>
    <col min="10242" max="10242" width="2.89453125" style="100" customWidth="1"/>
    <col min="10243" max="10243" width="6.89453125" style="100" customWidth="1"/>
    <col min="10244" max="10244" width="6.41796875" style="100" customWidth="1"/>
    <col min="10245" max="10245" width="10" style="100" customWidth="1"/>
    <col min="10246" max="10246" width="11.89453125" style="100" bestFit="1" customWidth="1"/>
    <col min="10247" max="10247" width="7.41796875" style="100" customWidth="1"/>
    <col min="10248" max="10248" width="7.5234375" style="100" customWidth="1"/>
    <col min="10249" max="10249" width="9.1015625" style="100" bestFit="1" customWidth="1"/>
    <col min="10250" max="10250" width="8.3125" style="100" customWidth="1"/>
    <col min="10251" max="10251" width="6.68359375" style="100" customWidth="1"/>
    <col min="10252" max="10252" width="8.3125" style="100" customWidth="1"/>
    <col min="10253" max="10253" width="8.68359375" style="100" customWidth="1"/>
    <col min="10254" max="10254" width="8.41796875" style="100" customWidth="1"/>
    <col min="10255" max="10496" width="11.41796875" style="100"/>
    <col min="10497" max="10497" width="33.1015625" style="100" customWidth="1"/>
    <col min="10498" max="10498" width="2.89453125" style="100" customWidth="1"/>
    <col min="10499" max="10499" width="6.89453125" style="100" customWidth="1"/>
    <col min="10500" max="10500" width="6.41796875" style="100" customWidth="1"/>
    <col min="10501" max="10501" width="10" style="100" customWidth="1"/>
    <col min="10502" max="10502" width="11.89453125" style="100" bestFit="1" customWidth="1"/>
    <col min="10503" max="10503" width="7.41796875" style="100" customWidth="1"/>
    <col min="10504" max="10504" width="7.5234375" style="100" customWidth="1"/>
    <col min="10505" max="10505" width="9.1015625" style="100" bestFit="1" customWidth="1"/>
    <col min="10506" max="10506" width="8.3125" style="100" customWidth="1"/>
    <col min="10507" max="10507" width="6.68359375" style="100" customWidth="1"/>
    <col min="10508" max="10508" width="8.3125" style="100" customWidth="1"/>
    <col min="10509" max="10509" width="8.68359375" style="100" customWidth="1"/>
    <col min="10510" max="10510" width="8.41796875" style="100" customWidth="1"/>
    <col min="10511" max="10752" width="11.41796875" style="100"/>
    <col min="10753" max="10753" width="33.1015625" style="100" customWidth="1"/>
    <col min="10754" max="10754" width="2.89453125" style="100" customWidth="1"/>
    <col min="10755" max="10755" width="6.89453125" style="100" customWidth="1"/>
    <col min="10756" max="10756" width="6.41796875" style="100" customWidth="1"/>
    <col min="10757" max="10757" width="10" style="100" customWidth="1"/>
    <col min="10758" max="10758" width="11.89453125" style="100" bestFit="1" customWidth="1"/>
    <col min="10759" max="10759" width="7.41796875" style="100" customWidth="1"/>
    <col min="10760" max="10760" width="7.5234375" style="100" customWidth="1"/>
    <col min="10761" max="10761" width="9.1015625" style="100" bestFit="1" customWidth="1"/>
    <col min="10762" max="10762" width="8.3125" style="100" customWidth="1"/>
    <col min="10763" max="10763" width="6.68359375" style="100" customWidth="1"/>
    <col min="10764" max="10764" width="8.3125" style="100" customWidth="1"/>
    <col min="10765" max="10765" width="8.68359375" style="100" customWidth="1"/>
    <col min="10766" max="10766" width="8.41796875" style="100" customWidth="1"/>
    <col min="10767" max="11008" width="11.41796875" style="100"/>
    <col min="11009" max="11009" width="33.1015625" style="100" customWidth="1"/>
    <col min="11010" max="11010" width="2.89453125" style="100" customWidth="1"/>
    <col min="11011" max="11011" width="6.89453125" style="100" customWidth="1"/>
    <col min="11012" max="11012" width="6.41796875" style="100" customWidth="1"/>
    <col min="11013" max="11013" width="10" style="100" customWidth="1"/>
    <col min="11014" max="11014" width="11.89453125" style="100" bestFit="1" customWidth="1"/>
    <col min="11015" max="11015" width="7.41796875" style="100" customWidth="1"/>
    <col min="11016" max="11016" width="7.5234375" style="100" customWidth="1"/>
    <col min="11017" max="11017" width="9.1015625" style="100" bestFit="1" customWidth="1"/>
    <col min="11018" max="11018" width="8.3125" style="100" customWidth="1"/>
    <col min="11019" max="11019" width="6.68359375" style="100" customWidth="1"/>
    <col min="11020" max="11020" width="8.3125" style="100" customWidth="1"/>
    <col min="11021" max="11021" width="8.68359375" style="100" customWidth="1"/>
    <col min="11022" max="11022" width="8.41796875" style="100" customWidth="1"/>
    <col min="11023" max="11264" width="11.41796875" style="100"/>
    <col min="11265" max="11265" width="33.1015625" style="100" customWidth="1"/>
    <col min="11266" max="11266" width="2.89453125" style="100" customWidth="1"/>
    <col min="11267" max="11267" width="6.89453125" style="100" customWidth="1"/>
    <col min="11268" max="11268" width="6.41796875" style="100" customWidth="1"/>
    <col min="11269" max="11269" width="10" style="100" customWidth="1"/>
    <col min="11270" max="11270" width="11.89453125" style="100" bestFit="1" customWidth="1"/>
    <col min="11271" max="11271" width="7.41796875" style="100" customWidth="1"/>
    <col min="11272" max="11272" width="7.5234375" style="100" customWidth="1"/>
    <col min="11273" max="11273" width="9.1015625" style="100" bestFit="1" customWidth="1"/>
    <col min="11274" max="11274" width="8.3125" style="100" customWidth="1"/>
    <col min="11275" max="11275" width="6.68359375" style="100" customWidth="1"/>
    <col min="11276" max="11276" width="8.3125" style="100" customWidth="1"/>
    <col min="11277" max="11277" width="8.68359375" style="100" customWidth="1"/>
    <col min="11278" max="11278" width="8.41796875" style="100" customWidth="1"/>
    <col min="11279" max="11520" width="11.41796875" style="100"/>
    <col min="11521" max="11521" width="33.1015625" style="100" customWidth="1"/>
    <col min="11522" max="11522" width="2.89453125" style="100" customWidth="1"/>
    <col min="11523" max="11523" width="6.89453125" style="100" customWidth="1"/>
    <col min="11524" max="11524" width="6.41796875" style="100" customWidth="1"/>
    <col min="11525" max="11525" width="10" style="100" customWidth="1"/>
    <col min="11526" max="11526" width="11.89453125" style="100" bestFit="1" customWidth="1"/>
    <col min="11527" max="11527" width="7.41796875" style="100" customWidth="1"/>
    <col min="11528" max="11528" width="7.5234375" style="100" customWidth="1"/>
    <col min="11529" max="11529" width="9.1015625" style="100" bestFit="1" customWidth="1"/>
    <col min="11530" max="11530" width="8.3125" style="100" customWidth="1"/>
    <col min="11531" max="11531" width="6.68359375" style="100" customWidth="1"/>
    <col min="11532" max="11532" width="8.3125" style="100" customWidth="1"/>
    <col min="11533" max="11533" width="8.68359375" style="100" customWidth="1"/>
    <col min="11534" max="11534" width="8.41796875" style="100" customWidth="1"/>
    <col min="11535" max="11776" width="11.41796875" style="100"/>
    <col min="11777" max="11777" width="33.1015625" style="100" customWidth="1"/>
    <col min="11778" max="11778" width="2.89453125" style="100" customWidth="1"/>
    <col min="11779" max="11779" width="6.89453125" style="100" customWidth="1"/>
    <col min="11780" max="11780" width="6.41796875" style="100" customWidth="1"/>
    <col min="11781" max="11781" width="10" style="100" customWidth="1"/>
    <col min="11782" max="11782" width="11.89453125" style="100" bestFit="1" customWidth="1"/>
    <col min="11783" max="11783" width="7.41796875" style="100" customWidth="1"/>
    <col min="11784" max="11784" width="7.5234375" style="100" customWidth="1"/>
    <col min="11785" max="11785" width="9.1015625" style="100" bestFit="1" customWidth="1"/>
    <col min="11786" max="11786" width="8.3125" style="100" customWidth="1"/>
    <col min="11787" max="11787" width="6.68359375" style="100" customWidth="1"/>
    <col min="11788" max="11788" width="8.3125" style="100" customWidth="1"/>
    <col min="11789" max="11789" width="8.68359375" style="100" customWidth="1"/>
    <col min="11790" max="11790" width="8.41796875" style="100" customWidth="1"/>
    <col min="11791" max="12032" width="11.41796875" style="100"/>
    <col min="12033" max="12033" width="33.1015625" style="100" customWidth="1"/>
    <col min="12034" max="12034" width="2.89453125" style="100" customWidth="1"/>
    <col min="12035" max="12035" width="6.89453125" style="100" customWidth="1"/>
    <col min="12036" max="12036" width="6.41796875" style="100" customWidth="1"/>
    <col min="12037" max="12037" width="10" style="100" customWidth="1"/>
    <col min="12038" max="12038" width="11.89453125" style="100" bestFit="1" customWidth="1"/>
    <col min="12039" max="12039" width="7.41796875" style="100" customWidth="1"/>
    <col min="12040" max="12040" width="7.5234375" style="100" customWidth="1"/>
    <col min="12041" max="12041" width="9.1015625" style="100" bestFit="1" customWidth="1"/>
    <col min="12042" max="12042" width="8.3125" style="100" customWidth="1"/>
    <col min="12043" max="12043" width="6.68359375" style="100" customWidth="1"/>
    <col min="12044" max="12044" width="8.3125" style="100" customWidth="1"/>
    <col min="12045" max="12045" width="8.68359375" style="100" customWidth="1"/>
    <col min="12046" max="12046" width="8.41796875" style="100" customWidth="1"/>
    <col min="12047" max="12288" width="11.41796875" style="100"/>
    <col min="12289" max="12289" width="33.1015625" style="100" customWidth="1"/>
    <col min="12290" max="12290" width="2.89453125" style="100" customWidth="1"/>
    <col min="12291" max="12291" width="6.89453125" style="100" customWidth="1"/>
    <col min="12292" max="12292" width="6.41796875" style="100" customWidth="1"/>
    <col min="12293" max="12293" width="10" style="100" customWidth="1"/>
    <col min="12294" max="12294" width="11.89453125" style="100" bestFit="1" customWidth="1"/>
    <col min="12295" max="12295" width="7.41796875" style="100" customWidth="1"/>
    <col min="12296" max="12296" width="7.5234375" style="100" customWidth="1"/>
    <col min="12297" max="12297" width="9.1015625" style="100" bestFit="1" customWidth="1"/>
    <col min="12298" max="12298" width="8.3125" style="100" customWidth="1"/>
    <col min="12299" max="12299" width="6.68359375" style="100" customWidth="1"/>
    <col min="12300" max="12300" width="8.3125" style="100" customWidth="1"/>
    <col min="12301" max="12301" width="8.68359375" style="100" customWidth="1"/>
    <col min="12302" max="12302" width="8.41796875" style="100" customWidth="1"/>
    <col min="12303" max="12544" width="11.41796875" style="100"/>
    <col min="12545" max="12545" width="33.1015625" style="100" customWidth="1"/>
    <col min="12546" max="12546" width="2.89453125" style="100" customWidth="1"/>
    <col min="12547" max="12547" width="6.89453125" style="100" customWidth="1"/>
    <col min="12548" max="12548" width="6.41796875" style="100" customWidth="1"/>
    <col min="12549" max="12549" width="10" style="100" customWidth="1"/>
    <col min="12550" max="12550" width="11.89453125" style="100" bestFit="1" customWidth="1"/>
    <col min="12551" max="12551" width="7.41796875" style="100" customWidth="1"/>
    <col min="12552" max="12552" width="7.5234375" style="100" customWidth="1"/>
    <col min="12553" max="12553" width="9.1015625" style="100" bestFit="1" customWidth="1"/>
    <col min="12554" max="12554" width="8.3125" style="100" customWidth="1"/>
    <col min="12555" max="12555" width="6.68359375" style="100" customWidth="1"/>
    <col min="12556" max="12556" width="8.3125" style="100" customWidth="1"/>
    <col min="12557" max="12557" width="8.68359375" style="100" customWidth="1"/>
    <col min="12558" max="12558" width="8.41796875" style="100" customWidth="1"/>
    <col min="12559" max="12800" width="11.41796875" style="100"/>
    <col min="12801" max="12801" width="33.1015625" style="100" customWidth="1"/>
    <col min="12802" max="12802" width="2.89453125" style="100" customWidth="1"/>
    <col min="12803" max="12803" width="6.89453125" style="100" customWidth="1"/>
    <col min="12804" max="12804" width="6.41796875" style="100" customWidth="1"/>
    <col min="12805" max="12805" width="10" style="100" customWidth="1"/>
    <col min="12806" max="12806" width="11.89453125" style="100" bestFit="1" customWidth="1"/>
    <col min="12807" max="12807" width="7.41796875" style="100" customWidth="1"/>
    <col min="12808" max="12808" width="7.5234375" style="100" customWidth="1"/>
    <col min="12809" max="12809" width="9.1015625" style="100" bestFit="1" customWidth="1"/>
    <col min="12810" max="12810" width="8.3125" style="100" customWidth="1"/>
    <col min="12811" max="12811" width="6.68359375" style="100" customWidth="1"/>
    <col min="12812" max="12812" width="8.3125" style="100" customWidth="1"/>
    <col min="12813" max="12813" width="8.68359375" style="100" customWidth="1"/>
    <col min="12814" max="12814" width="8.41796875" style="100" customWidth="1"/>
    <col min="12815" max="13056" width="11.41796875" style="100"/>
    <col min="13057" max="13057" width="33.1015625" style="100" customWidth="1"/>
    <col min="13058" max="13058" width="2.89453125" style="100" customWidth="1"/>
    <col min="13059" max="13059" width="6.89453125" style="100" customWidth="1"/>
    <col min="13060" max="13060" width="6.41796875" style="100" customWidth="1"/>
    <col min="13061" max="13061" width="10" style="100" customWidth="1"/>
    <col min="13062" max="13062" width="11.89453125" style="100" bestFit="1" customWidth="1"/>
    <col min="13063" max="13063" width="7.41796875" style="100" customWidth="1"/>
    <col min="13064" max="13064" width="7.5234375" style="100" customWidth="1"/>
    <col min="13065" max="13065" width="9.1015625" style="100" bestFit="1" customWidth="1"/>
    <col min="13066" max="13066" width="8.3125" style="100" customWidth="1"/>
    <col min="13067" max="13067" width="6.68359375" style="100" customWidth="1"/>
    <col min="13068" max="13068" width="8.3125" style="100" customWidth="1"/>
    <col min="13069" max="13069" width="8.68359375" style="100" customWidth="1"/>
    <col min="13070" max="13070" width="8.41796875" style="100" customWidth="1"/>
    <col min="13071" max="13312" width="11.41796875" style="100"/>
    <col min="13313" max="13313" width="33.1015625" style="100" customWidth="1"/>
    <col min="13314" max="13314" width="2.89453125" style="100" customWidth="1"/>
    <col min="13315" max="13315" width="6.89453125" style="100" customWidth="1"/>
    <col min="13316" max="13316" width="6.41796875" style="100" customWidth="1"/>
    <col min="13317" max="13317" width="10" style="100" customWidth="1"/>
    <col min="13318" max="13318" width="11.89453125" style="100" bestFit="1" customWidth="1"/>
    <col min="13319" max="13319" width="7.41796875" style="100" customWidth="1"/>
    <col min="13320" max="13320" width="7.5234375" style="100" customWidth="1"/>
    <col min="13321" max="13321" width="9.1015625" style="100" bestFit="1" customWidth="1"/>
    <col min="13322" max="13322" width="8.3125" style="100" customWidth="1"/>
    <col min="13323" max="13323" width="6.68359375" style="100" customWidth="1"/>
    <col min="13324" max="13324" width="8.3125" style="100" customWidth="1"/>
    <col min="13325" max="13325" width="8.68359375" style="100" customWidth="1"/>
    <col min="13326" max="13326" width="8.41796875" style="100" customWidth="1"/>
    <col min="13327" max="13568" width="11.41796875" style="100"/>
    <col min="13569" max="13569" width="33.1015625" style="100" customWidth="1"/>
    <col min="13570" max="13570" width="2.89453125" style="100" customWidth="1"/>
    <col min="13571" max="13571" width="6.89453125" style="100" customWidth="1"/>
    <col min="13572" max="13572" width="6.41796875" style="100" customWidth="1"/>
    <col min="13573" max="13573" width="10" style="100" customWidth="1"/>
    <col min="13574" max="13574" width="11.89453125" style="100" bestFit="1" customWidth="1"/>
    <col min="13575" max="13575" width="7.41796875" style="100" customWidth="1"/>
    <col min="13576" max="13576" width="7.5234375" style="100" customWidth="1"/>
    <col min="13577" max="13577" width="9.1015625" style="100" bestFit="1" customWidth="1"/>
    <col min="13578" max="13578" width="8.3125" style="100" customWidth="1"/>
    <col min="13579" max="13579" width="6.68359375" style="100" customWidth="1"/>
    <col min="13580" max="13580" width="8.3125" style="100" customWidth="1"/>
    <col min="13581" max="13581" width="8.68359375" style="100" customWidth="1"/>
    <col min="13582" max="13582" width="8.41796875" style="100" customWidth="1"/>
    <col min="13583" max="13824" width="11.41796875" style="100"/>
    <col min="13825" max="13825" width="33.1015625" style="100" customWidth="1"/>
    <col min="13826" max="13826" width="2.89453125" style="100" customWidth="1"/>
    <col min="13827" max="13827" width="6.89453125" style="100" customWidth="1"/>
    <col min="13828" max="13828" width="6.41796875" style="100" customWidth="1"/>
    <col min="13829" max="13829" width="10" style="100" customWidth="1"/>
    <col min="13830" max="13830" width="11.89453125" style="100" bestFit="1" customWidth="1"/>
    <col min="13831" max="13831" width="7.41796875" style="100" customWidth="1"/>
    <col min="13832" max="13832" width="7.5234375" style="100" customWidth="1"/>
    <col min="13833" max="13833" width="9.1015625" style="100" bestFit="1" customWidth="1"/>
    <col min="13834" max="13834" width="8.3125" style="100" customWidth="1"/>
    <col min="13835" max="13835" width="6.68359375" style="100" customWidth="1"/>
    <col min="13836" max="13836" width="8.3125" style="100" customWidth="1"/>
    <col min="13837" max="13837" width="8.68359375" style="100" customWidth="1"/>
    <col min="13838" max="13838" width="8.41796875" style="100" customWidth="1"/>
    <col min="13839" max="14080" width="11.41796875" style="100"/>
    <col min="14081" max="14081" width="33.1015625" style="100" customWidth="1"/>
    <col min="14082" max="14082" width="2.89453125" style="100" customWidth="1"/>
    <col min="14083" max="14083" width="6.89453125" style="100" customWidth="1"/>
    <col min="14084" max="14084" width="6.41796875" style="100" customWidth="1"/>
    <col min="14085" max="14085" width="10" style="100" customWidth="1"/>
    <col min="14086" max="14086" width="11.89453125" style="100" bestFit="1" customWidth="1"/>
    <col min="14087" max="14087" width="7.41796875" style="100" customWidth="1"/>
    <col min="14088" max="14088" width="7.5234375" style="100" customWidth="1"/>
    <col min="14089" max="14089" width="9.1015625" style="100" bestFit="1" customWidth="1"/>
    <col min="14090" max="14090" width="8.3125" style="100" customWidth="1"/>
    <col min="14091" max="14091" width="6.68359375" style="100" customWidth="1"/>
    <col min="14092" max="14092" width="8.3125" style="100" customWidth="1"/>
    <col min="14093" max="14093" width="8.68359375" style="100" customWidth="1"/>
    <col min="14094" max="14094" width="8.41796875" style="100" customWidth="1"/>
    <col min="14095" max="14336" width="11.41796875" style="100"/>
    <col min="14337" max="14337" width="33.1015625" style="100" customWidth="1"/>
    <col min="14338" max="14338" width="2.89453125" style="100" customWidth="1"/>
    <col min="14339" max="14339" width="6.89453125" style="100" customWidth="1"/>
    <col min="14340" max="14340" width="6.41796875" style="100" customWidth="1"/>
    <col min="14341" max="14341" width="10" style="100" customWidth="1"/>
    <col min="14342" max="14342" width="11.89453125" style="100" bestFit="1" customWidth="1"/>
    <col min="14343" max="14343" width="7.41796875" style="100" customWidth="1"/>
    <col min="14344" max="14344" width="7.5234375" style="100" customWidth="1"/>
    <col min="14345" max="14345" width="9.1015625" style="100" bestFit="1" customWidth="1"/>
    <col min="14346" max="14346" width="8.3125" style="100" customWidth="1"/>
    <col min="14347" max="14347" width="6.68359375" style="100" customWidth="1"/>
    <col min="14348" max="14348" width="8.3125" style="100" customWidth="1"/>
    <col min="14349" max="14349" width="8.68359375" style="100" customWidth="1"/>
    <col min="14350" max="14350" width="8.41796875" style="100" customWidth="1"/>
    <col min="14351" max="14592" width="11.41796875" style="100"/>
    <col min="14593" max="14593" width="33.1015625" style="100" customWidth="1"/>
    <col min="14594" max="14594" width="2.89453125" style="100" customWidth="1"/>
    <col min="14595" max="14595" width="6.89453125" style="100" customWidth="1"/>
    <col min="14596" max="14596" width="6.41796875" style="100" customWidth="1"/>
    <col min="14597" max="14597" width="10" style="100" customWidth="1"/>
    <col min="14598" max="14598" width="11.89453125" style="100" bestFit="1" customWidth="1"/>
    <col min="14599" max="14599" width="7.41796875" style="100" customWidth="1"/>
    <col min="14600" max="14600" width="7.5234375" style="100" customWidth="1"/>
    <col min="14601" max="14601" width="9.1015625" style="100" bestFit="1" customWidth="1"/>
    <col min="14602" max="14602" width="8.3125" style="100" customWidth="1"/>
    <col min="14603" max="14603" width="6.68359375" style="100" customWidth="1"/>
    <col min="14604" max="14604" width="8.3125" style="100" customWidth="1"/>
    <col min="14605" max="14605" width="8.68359375" style="100" customWidth="1"/>
    <col min="14606" max="14606" width="8.41796875" style="100" customWidth="1"/>
    <col min="14607" max="14848" width="11.41796875" style="100"/>
    <col min="14849" max="14849" width="33.1015625" style="100" customWidth="1"/>
    <col min="14850" max="14850" width="2.89453125" style="100" customWidth="1"/>
    <col min="14851" max="14851" width="6.89453125" style="100" customWidth="1"/>
    <col min="14852" max="14852" width="6.41796875" style="100" customWidth="1"/>
    <col min="14853" max="14853" width="10" style="100" customWidth="1"/>
    <col min="14854" max="14854" width="11.89453125" style="100" bestFit="1" customWidth="1"/>
    <col min="14855" max="14855" width="7.41796875" style="100" customWidth="1"/>
    <col min="14856" max="14856" width="7.5234375" style="100" customWidth="1"/>
    <col min="14857" max="14857" width="9.1015625" style="100" bestFit="1" customWidth="1"/>
    <col min="14858" max="14858" width="8.3125" style="100" customWidth="1"/>
    <col min="14859" max="14859" width="6.68359375" style="100" customWidth="1"/>
    <col min="14860" max="14860" width="8.3125" style="100" customWidth="1"/>
    <col min="14861" max="14861" width="8.68359375" style="100" customWidth="1"/>
    <col min="14862" max="14862" width="8.41796875" style="100" customWidth="1"/>
    <col min="14863" max="15104" width="11.41796875" style="100"/>
    <col min="15105" max="15105" width="33.1015625" style="100" customWidth="1"/>
    <col min="15106" max="15106" width="2.89453125" style="100" customWidth="1"/>
    <col min="15107" max="15107" width="6.89453125" style="100" customWidth="1"/>
    <col min="15108" max="15108" width="6.41796875" style="100" customWidth="1"/>
    <col min="15109" max="15109" width="10" style="100" customWidth="1"/>
    <col min="15110" max="15110" width="11.89453125" style="100" bestFit="1" customWidth="1"/>
    <col min="15111" max="15111" width="7.41796875" style="100" customWidth="1"/>
    <col min="15112" max="15112" width="7.5234375" style="100" customWidth="1"/>
    <col min="15113" max="15113" width="9.1015625" style="100" bestFit="1" customWidth="1"/>
    <col min="15114" max="15114" width="8.3125" style="100" customWidth="1"/>
    <col min="15115" max="15115" width="6.68359375" style="100" customWidth="1"/>
    <col min="15116" max="15116" width="8.3125" style="100" customWidth="1"/>
    <col min="15117" max="15117" width="8.68359375" style="100" customWidth="1"/>
    <col min="15118" max="15118" width="8.41796875" style="100" customWidth="1"/>
    <col min="15119" max="15360" width="11.41796875" style="100"/>
    <col min="15361" max="15361" width="33.1015625" style="100" customWidth="1"/>
    <col min="15362" max="15362" width="2.89453125" style="100" customWidth="1"/>
    <col min="15363" max="15363" width="6.89453125" style="100" customWidth="1"/>
    <col min="15364" max="15364" width="6.41796875" style="100" customWidth="1"/>
    <col min="15365" max="15365" width="10" style="100" customWidth="1"/>
    <col min="15366" max="15366" width="11.89453125" style="100" bestFit="1" customWidth="1"/>
    <col min="15367" max="15367" width="7.41796875" style="100" customWidth="1"/>
    <col min="15368" max="15368" width="7.5234375" style="100" customWidth="1"/>
    <col min="15369" max="15369" width="9.1015625" style="100" bestFit="1" customWidth="1"/>
    <col min="15370" max="15370" width="8.3125" style="100" customWidth="1"/>
    <col min="15371" max="15371" width="6.68359375" style="100" customWidth="1"/>
    <col min="15372" max="15372" width="8.3125" style="100" customWidth="1"/>
    <col min="15373" max="15373" width="8.68359375" style="100" customWidth="1"/>
    <col min="15374" max="15374" width="8.41796875" style="100" customWidth="1"/>
    <col min="15375" max="15616" width="11.41796875" style="100"/>
    <col min="15617" max="15617" width="33.1015625" style="100" customWidth="1"/>
    <col min="15618" max="15618" width="2.89453125" style="100" customWidth="1"/>
    <col min="15619" max="15619" width="6.89453125" style="100" customWidth="1"/>
    <col min="15620" max="15620" width="6.41796875" style="100" customWidth="1"/>
    <col min="15621" max="15621" width="10" style="100" customWidth="1"/>
    <col min="15622" max="15622" width="11.89453125" style="100" bestFit="1" customWidth="1"/>
    <col min="15623" max="15623" width="7.41796875" style="100" customWidth="1"/>
    <col min="15624" max="15624" width="7.5234375" style="100" customWidth="1"/>
    <col min="15625" max="15625" width="9.1015625" style="100" bestFit="1" customWidth="1"/>
    <col min="15626" max="15626" width="8.3125" style="100" customWidth="1"/>
    <col min="15627" max="15627" width="6.68359375" style="100" customWidth="1"/>
    <col min="15628" max="15628" width="8.3125" style="100" customWidth="1"/>
    <col min="15629" max="15629" width="8.68359375" style="100" customWidth="1"/>
    <col min="15630" max="15630" width="8.41796875" style="100" customWidth="1"/>
    <col min="15631" max="15872" width="11.41796875" style="100"/>
    <col min="15873" max="15873" width="33.1015625" style="100" customWidth="1"/>
    <col min="15874" max="15874" width="2.89453125" style="100" customWidth="1"/>
    <col min="15875" max="15875" width="6.89453125" style="100" customWidth="1"/>
    <col min="15876" max="15876" width="6.41796875" style="100" customWidth="1"/>
    <col min="15877" max="15877" width="10" style="100" customWidth="1"/>
    <col min="15878" max="15878" width="11.89453125" style="100" bestFit="1" customWidth="1"/>
    <col min="15879" max="15879" width="7.41796875" style="100" customWidth="1"/>
    <col min="15880" max="15880" width="7.5234375" style="100" customWidth="1"/>
    <col min="15881" max="15881" width="9.1015625" style="100" bestFit="1" customWidth="1"/>
    <col min="15882" max="15882" width="8.3125" style="100" customWidth="1"/>
    <col min="15883" max="15883" width="6.68359375" style="100" customWidth="1"/>
    <col min="15884" max="15884" width="8.3125" style="100" customWidth="1"/>
    <col min="15885" max="15885" width="8.68359375" style="100" customWidth="1"/>
    <col min="15886" max="15886" width="8.41796875" style="100" customWidth="1"/>
    <col min="15887" max="16128" width="11.41796875" style="100"/>
    <col min="16129" max="16129" width="33.1015625" style="100" customWidth="1"/>
    <col min="16130" max="16130" width="2.89453125" style="100" customWidth="1"/>
    <col min="16131" max="16131" width="6.89453125" style="100" customWidth="1"/>
    <col min="16132" max="16132" width="6.41796875" style="100" customWidth="1"/>
    <col min="16133" max="16133" width="10" style="100" customWidth="1"/>
    <col min="16134" max="16134" width="11.89453125" style="100" bestFit="1" customWidth="1"/>
    <col min="16135" max="16135" width="7.41796875" style="100" customWidth="1"/>
    <col min="16136" max="16136" width="7.5234375" style="100" customWidth="1"/>
    <col min="16137" max="16137" width="9.1015625" style="100" bestFit="1" customWidth="1"/>
    <col min="16138" max="16138" width="8.3125" style="100" customWidth="1"/>
    <col min="16139" max="16139" width="6.68359375" style="100" customWidth="1"/>
    <col min="16140" max="16140" width="8.3125" style="100" customWidth="1"/>
    <col min="16141" max="16141" width="8.68359375" style="100" customWidth="1"/>
    <col min="16142" max="16142" width="8.41796875" style="100" customWidth="1"/>
    <col min="16143" max="16384" width="11.41796875" style="100"/>
  </cols>
  <sheetData>
    <row r="1" spans="1:14" ht="48" customHeight="1">
      <c r="A1" s="363" t="s">
        <v>0</v>
      </c>
      <c r="B1" s="423"/>
      <c r="C1" s="423"/>
      <c r="D1" s="423"/>
      <c r="E1" s="423"/>
      <c r="F1" s="423"/>
      <c r="G1" s="423"/>
      <c r="H1" s="423"/>
      <c r="I1" s="423"/>
      <c r="J1" s="423"/>
      <c r="K1" s="423"/>
      <c r="L1" s="423"/>
      <c r="M1" s="423"/>
      <c r="N1" s="423"/>
    </row>
    <row r="2" spans="1:14">
      <c r="A2" s="2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ht="14.25" customHeight="1">
      <c r="A3" s="4"/>
      <c r="B3" s="5"/>
      <c r="C3" s="5"/>
      <c r="D3" s="5"/>
      <c r="E3" s="4"/>
      <c r="F3" s="4"/>
      <c r="G3" s="4"/>
      <c r="H3" s="5"/>
      <c r="I3" s="6"/>
      <c r="J3" s="6"/>
      <c r="K3" s="6"/>
      <c r="L3" s="6"/>
      <c r="M3" s="6"/>
      <c r="N3" s="6"/>
    </row>
    <row r="4" spans="1:14" s="102" customFormat="1" ht="31.5" customHeight="1">
      <c r="A4" s="101" t="s">
        <v>131</v>
      </c>
      <c r="B4" s="101" t="s">
        <v>2</v>
      </c>
      <c r="C4" s="101" t="s">
        <v>132</v>
      </c>
      <c r="D4" s="101" t="s">
        <v>133</v>
      </c>
      <c r="E4" s="101" t="s">
        <v>134</v>
      </c>
      <c r="F4" s="101" t="s">
        <v>51</v>
      </c>
      <c r="G4" s="101" t="s">
        <v>135</v>
      </c>
      <c r="H4" s="101" t="s">
        <v>136</v>
      </c>
      <c r="I4" s="101" t="s">
        <v>137</v>
      </c>
      <c r="J4" s="101" t="s">
        <v>138</v>
      </c>
      <c r="K4" s="101" t="s">
        <v>139</v>
      </c>
      <c r="L4" s="101" t="s">
        <v>140</v>
      </c>
      <c r="M4" s="101" t="s">
        <v>141</v>
      </c>
      <c r="N4" s="101" t="s">
        <v>142</v>
      </c>
    </row>
    <row r="5" spans="1:14" ht="3.75" customHeight="1">
      <c r="A5" s="4"/>
      <c r="B5" s="5"/>
      <c r="C5" s="5"/>
      <c r="D5" s="5"/>
      <c r="E5" s="4"/>
      <c r="F5" s="4"/>
      <c r="G5" s="4"/>
      <c r="H5" s="5"/>
      <c r="I5" s="6"/>
      <c r="J5" s="6"/>
      <c r="K5" s="6"/>
      <c r="L5" s="6"/>
      <c r="M5" s="6"/>
      <c r="N5" s="6"/>
    </row>
    <row r="6" spans="1:14" ht="12" customHeight="1">
      <c r="A6" s="9" t="s">
        <v>143</v>
      </c>
      <c r="B6" s="10"/>
      <c r="C6" s="10"/>
      <c r="D6" s="10"/>
      <c r="E6" s="11"/>
      <c r="F6" s="11"/>
      <c r="G6" s="11"/>
      <c r="H6" s="10"/>
      <c r="I6" s="11"/>
      <c r="J6" s="11"/>
      <c r="K6" s="11"/>
      <c r="L6" s="11"/>
      <c r="M6" s="11"/>
      <c r="N6" s="103"/>
    </row>
    <row r="7" spans="1:14" ht="12" customHeight="1">
      <c r="A7" s="9"/>
      <c r="B7" s="10"/>
      <c r="C7" s="10"/>
      <c r="D7" s="10"/>
      <c r="E7" s="11"/>
      <c r="F7" s="11"/>
      <c r="G7" s="11"/>
      <c r="H7" s="10"/>
      <c r="I7" s="11"/>
      <c r="J7" s="11"/>
      <c r="K7" s="11"/>
      <c r="L7" s="11"/>
      <c r="M7" s="11"/>
      <c r="N7" s="103"/>
    </row>
    <row r="8" spans="1:14" ht="23.25" customHeight="1">
      <c r="A8" s="13" t="s">
        <v>144</v>
      </c>
      <c r="B8" s="14" t="s">
        <v>29</v>
      </c>
      <c r="C8" s="14">
        <v>2021</v>
      </c>
      <c r="D8" s="15" t="s">
        <v>111</v>
      </c>
      <c r="E8" s="16">
        <v>17306</v>
      </c>
      <c r="F8" s="16">
        <f>+E8</f>
        <v>17306</v>
      </c>
      <c r="G8" s="15">
        <v>12</v>
      </c>
      <c r="H8" s="15" t="s">
        <v>145</v>
      </c>
      <c r="I8" s="15">
        <f>E8*G8</f>
        <v>207672</v>
      </c>
      <c r="J8" s="17">
        <f>+F8</f>
        <v>17306</v>
      </c>
      <c r="K8" s="17">
        <f>I8*0.1</f>
        <v>20767.2</v>
      </c>
      <c r="L8" s="17">
        <f>I8*0.0171</f>
        <v>3551.1912000000002</v>
      </c>
      <c r="M8" s="17">
        <f>I8*0.03</f>
        <v>6230.16</v>
      </c>
      <c r="N8" s="17">
        <f>I8*0.02</f>
        <v>4153.4400000000005</v>
      </c>
    </row>
    <row r="9" spans="1:14" ht="23.25" customHeight="1">
      <c r="A9" s="20" t="s">
        <v>146</v>
      </c>
      <c r="B9" s="14"/>
      <c r="C9" s="14"/>
      <c r="D9" s="15"/>
      <c r="E9" s="16"/>
      <c r="F9" s="16"/>
      <c r="G9" s="15"/>
      <c r="H9" s="15"/>
      <c r="I9" s="15"/>
      <c r="J9" s="17"/>
      <c r="K9" s="17"/>
      <c r="L9" s="17"/>
      <c r="M9" s="17"/>
      <c r="N9" s="17"/>
    </row>
    <row r="10" spans="1:14" ht="21" customHeight="1">
      <c r="A10" s="13" t="s">
        <v>147</v>
      </c>
      <c r="B10" s="14" t="s">
        <v>32</v>
      </c>
      <c r="C10" s="14">
        <v>2021</v>
      </c>
      <c r="D10" s="15" t="s">
        <v>111</v>
      </c>
      <c r="E10" s="16">
        <v>9906</v>
      </c>
      <c r="F10" s="16">
        <f>+E10</f>
        <v>9906</v>
      </c>
      <c r="G10" s="15">
        <v>12</v>
      </c>
      <c r="H10" s="15" t="s">
        <v>145</v>
      </c>
      <c r="I10" s="15">
        <f>E10*G10</f>
        <v>118872</v>
      </c>
      <c r="J10" s="17"/>
      <c r="K10" s="17">
        <f>I10*0.1</f>
        <v>11887.2</v>
      </c>
      <c r="L10" s="17">
        <f>I10*0.0171</f>
        <v>2032.7112</v>
      </c>
      <c r="M10" s="17">
        <f>I10*0.03</f>
        <v>3566.16</v>
      </c>
      <c r="N10" s="17">
        <f>I10*0.02</f>
        <v>2377.44</v>
      </c>
    </row>
    <row r="11" spans="1:14" ht="28.5" customHeight="1">
      <c r="A11" s="13" t="s">
        <v>148</v>
      </c>
      <c r="B11" s="14" t="s">
        <v>32</v>
      </c>
      <c r="C11" s="14">
        <v>2021</v>
      </c>
      <c r="D11" s="15" t="s">
        <v>111</v>
      </c>
      <c r="E11" s="16">
        <v>8593</v>
      </c>
      <c r="F11" s="16">
        <f>+E11</f>
        <v>8593</v>
      </c>
      <c r="G11" s="15">
        <v>12</v>
      </c>
      <c r="H11" s="15" t="s">
        <v>145</v>
      </c>
      <c r="I11" s="15">
        <f>E11*G11</f>
        <v>103116</v>
      </c>
      <c r="J11" s="17"/>
      <c r="K11" s="17">
        <f>I11*0.1</f>
        <v>10311.6</v>
      </c>
      <c r="L11" s="17">
        <f>I11*0.0171</f>
        <v>1763.2836</v>
      </c>
      <c r="M11" s="17">
        <f>I11*0.03</f>
        <v>3093.48</v>
      </c>
      <c r="N11" s="17">
        <f>I11*0.02</f>
        <v>2062.3200000000002</v>
      </c>
    </row>
    <row r="12" spans="1:14" ht="21" customHeight="1">
      <c r="A12" s="13" t="s">
        <v>149</v>
      </c>
      <c r="B12" s="14" t="s">
        <v>32</v>
      </c>
      <c r="C12" s="14">
        <v>2021</v>
      </c>
      <c r="D12" s="15" t="s">
        <v>111</v>
      </c>
      <c r="E12" s="16">
        <v>9906</v>
      </c>
      <c r="F12" s="16">
        <f>+E12</f>
        <v>9906</v>
      </c>
      <c r="G12" s="15">
        <v>12</v>
      </c>
      <c r="H12" s="15" t="s">
        <v>145</v>
      </c>
      <c r="I12" s="15">
        <f>E12*G12</f>
        <v>118872</v>
      </c>
      <c r="J12" s="17"/>
      <c r="K12" s="17">
        <f>I12*0.1</f>
        <v>11887.2</v>
      </c>
      <c r="L12" s="17">
        <f>I12*0.0171</f>
        <v>2032.7112</v>
      </c>
      <c r="M12" s="17">
        <f>I12*0.03</f>
        <v>3566.16</v>
      </c>
      <c r="N12" s="17">
        <f>I12*0.02</f>
        <v>2377.44</v>
      </c>
    </row>
    <row r="13" spans="1:14" ht="28.5" customHeight="1">
      <c r="A13" s="13" t="s">
        <v>150</v>
      </c>
      <c r="B13" s="14" t="s">
        <v>32</v>
      </c>
      <c r="C13" s="14">
        <v>2021</v>
      </c>
      <c r="D13" s="15" t="s">
        <v>111</v>
      </c>
      <c r="E13" s="16">
        <v>9130</v>
      </c>
      <c r="F13" s="16">
        <f>+E13</f>
        <v>9130</v>
      </c>
      <c r="G13" s="15">
        <v>12</v>
      </c>
      <c r="H13" s="15" t="s">
        <v>145</v>
      </c>
      <c r="I13" s="15">
        <f>E13*G13</f>
        <v>109560</v>
      </c>
      <c r="J13" s="17"/>
      <c r="K13" s="17">
        <f>I13*0.1</f>
        <v>10956</v>
      </c>
      <c r="L13" s="17">
        <f>I13*0.0171</f>
        <v>1873.4760000000001</v>
      </c>
      <c r="M13" s="17">
        <f>I13*0.03</f>
        <v>3286.7999999999997</v>
      </c>
      <c r="N13" s="17">
        <f>I13*0.02</f>
        <v>2191.2000000000003</v>
      </c>
    </row>
    <row r="14" spans="1:14" ht="21" customHeight="1">
      <c r="A14" s="13" t="s">
        <v>33</v>
      </c>
      <c r="B14" s="14" t="s">
        <v>32</v>
      </c>
      <c r="C14" s="14">
        <v>2021</v>
      </c>
      <c r="D14" s="15" t="s">
        <v>111</v>
      </c>
      <c r="E14" s="16">
        <v>4416</v>
      </c>
      <c r="F14" s="16">
        <f>+E14</f>
        <v>4416</v>
      </c>
      <c r="G14" s="15">
        <v>12</v>
      </c>
      <c r="H14" s="15" t="s">
        <v>145</v>
      </c>
      <c r="I14" s="15">
        <f>E14*G14</f>
        <v>52992</v>
      </c>
      <c r="J14" s="17"/>
      <c r="K14" s="17">
        <f>I14*0.1</f>
        <v>5299.2000000000007</v>
      </c>
      <c r="L14" s="17">
        <f>I14*0.0171</f>
        <v>906.16320000000007</v>
      </c>
      <c r="M14" s="17">
        <f>I14*0.03</f>
        <v>1589.76</v>
      </c>
      <c r="N14" s="17">
        <f>I14*0.02</f>
        <v>1059.8399999999999</v>
      </c>
    </row>
    <row r="15" spans="1:14" ht="23.25" customHeight="1">
      <c r="A15" s="20" t="s">
        <v>151</v>
      </c>
      <c r="B15" s="14"/>
      <c r="C15" s="14"/>
      <c r="D15" s="15"/>
      <c r="E15" s="16"/>
      <c r="F15" s="16"/>
      <c r="G15" s="15"/>
      <c r="H15" s="15"/>
      <c r="I15" s="15"/>
      <c r="J15" s="17"/>
      <c r="K15" s="17"/>
      <c r="L15" s="17"/>
      <c r="M15" s="17"/>
      <c r="N15" s="17"/>
    </row>
    <row r="16" spans="1:14" ht="21" customHeight="1">
      <c r="A16" s="13" t="s">
        <v>152</v>
      </c>
      <c r="B16" s="14" t="s">
        <v>32</v>
      </c>
      <c r="C16" s="14">
        <v>2021</v>
      </c>
      <c r="D16" s="15" t="s">
        <v>111</v>
      </c>
      <c r="E16" s="16">
        <v>9906</v>
      </c>
      <c r="F16" s="16">
        <f>+E16</f>
        <v>9906</v>
      </c>
      <c r="G16" s="15">
        <v>12</v>
      </c>
      <c r="H16" s="15" t="s">
        <v>145</v>
      </c>
      <c r="I16" s="15">
        <f>E16*G16</f>
        <v>118872</v>
      </c>
      <c r="J16" s="17"/>
      <c r="K16" s="17">
        <f>I16*0.1</f>
        <v>11887.2</v>
      </c>
      <c r="L16" s="17">
        <f>I16*0.0171</f>
        <v>2032.7112</v>
      </c>
      <c r="M16" s="17">
        <f>I16*0.03</f>
        <v>3566.16</v>
      </c>
      <c r="N16" s="17">
        <f>I16*0.02</f>
        <v>2377.44</v>
      </c>
    </row>
    <row r="17" spans="1:14" ht="21" customHeight="1">
      <c r="A17" s="13" t="s">
        <v>153</v>
      </c>
      <c r="B17" s="14" t="s">
        <v>32</v>
      </c>
      <c r="C17" s="14">
        <v>2021</v>
      </c>
      <c r="D17" s="15" t="s">
        <v>111</v>
      </c>
      <c r="E17" s="16">
        <v>8593</v>
      </c>
      <c r="F17" s="16">
        <f>+E17</f>
        <v>8593</v>
      </c>
      <c r="G17" s="15">
        <v>12</v>
      </c>
      <c r="H17" s="15" t="s">
        <v>145</v>
      </c>
      <c r="I17" s="15">
        <f>E17*G17</f>
        <v>103116</v>
      </c>
      <c r="J17" s="17"/>
      <c r="K17" s="17">
        <f>I17*0.1</f>
        <v>10311.6</v>
      </c>
      <c r="L17" s="17">
        <f>I17*0.0171</f>
        <v>1763.2836</v>
      </c>
      <c r="M17" s="17">
        <f>I17*0.03</f>
        <v>3093.48</v>
      </c>
      <c r="N17" s="17">
        <f>I17*0.02</f>
        <v>2062.3200000000002</v>
      </c>
    </row>
    <row r="18" spans="1:14" ht="21.75" customHeight="1">
      <c r="A18" s="13" t="s">
        <v>154</v>
      </c>
      <c r="B18" s="14" t="s">
        <v>32</v>
      </c>
      <c r="C18" s="14">
        <v>2021</v>
      </c>
      <c r="D18" s="15" t="s">
        <v>111</v>
      </c>
      <c r="E18" s="16">
        <v>4416</v>
      </c>
      <c r="F18" s="16">
        <f>+E18</f>
        <v>4416</v>
      </c>
      <c r="G18" s="15">
        <v>12</v>
      </c>
      <c r="H18" s="15" t="s">
        <v>145</v>
      </c>
      <c r="I18" s="15">
        <f>E18*G18</f>
        <v>52992</v>
      </c>
      <c r="J18" s="17"/>
      <c r="K18" s="17">
        <f>I18*0.1</f>
        <v>5299.2000000000007</v>
      </c>
      <c r="L18" s="17">
        <f>I18*0.0171</f>
        <v>906.16320000000007</v>
      </c>
      <c r="M18" s="17">
        <f>I18*0.03</f>
        <v>1589.76</v>
      </c>
      <c r="N18" s="17">
        <f>I18*0.02</f>
        <v>1059.8399999999999</v>
      </c>
    </row>
    <row r="19" spans="1:14" ht="21.75" customHeight="1">
      <c r="A19" s="13" t="s">
        <v>155</v>
      </c>
      <c r="B19" s="14" t="s">
        <v>32</v>
      </c>
      <c r="C19" s="14">
        <v>2021</v>
      </c>
      <c r="D19" s="15" t="s">
        <v>111</v>
      </c>
      <c r="E19" s="16">
        <v>4416</v>
      </c>
      <c r="F19" s="16">
        <f>+E19</f>
        <v>4416</v>
      </c>
      <c r="G19" s="15">
        <v>12</v>
      </c>
      <c r="H19" s="15" t="s">
        <v>145</v>
      </c>
      <c r="I19" s="15">
        <f>E19*G19</f>
        <v>52992</v>
      </c>
      <c r="J19" s="17"/>
      <c r="K19" s="17">
        <f>I19*0.1</f>
        <v>5299.2000000000007</v>
      </c>
      <c r="L19" s="17">
        <f>I19*0.0171</f>
        <v>906.16320000000007</v>
      </c>
      <c r="M19" s="17">
        <f>I19*0.03</f>
        <v>1589.76</v>
      </c>
      <c r="N19" s="17">
        <f>I19*0.02</f>
        <v>1059.8399999999999</v>
      </c>
    </row>
    <row r="20" spans="1:14" ht="24" customHeight="1">
      <c r="A20" s="21" t="s">
        <v>156</v>
      </c>
      <c r="B20" s="22"/>
      <c r="C20" s="22"/>
      <c r="D20" s="22"/>
      <c r="E20" s="23"/>
      <c r="F20" s="23"/>
      <c r="G20" s="22"/>
      <c r="H20" s="22"/>
      <c r="I20" s="24"/>
      <c r="J20" s="24"/>
      <c r="K20" s="24"/>
      <c r="L20" s="24"/>
      <c r="M20" s="24"/>
      <c r="N20" s="104"/>
    </row>
    <row r="21" spans="1:14" ht="21" customHeight="1">
      <c r="A21" s="13" t="s">
        <v>157</v>
      </c>
      <c r="B21" s="14" t="s">
        <v>32</v>
      </c>
      <c r="C21" s="14">
        <v>2021</v>
      </c>
      <c r="D21" s="15" t="s">
        <v>111</v>
      </c>
      <c r="E21" s="16">
        <v>9906</v>
      </c>
      <c r="F21" s="16">
        <f>+E21</f>
        <v>9906</v>
      </c>
      <c r="G21" s="15">
        <v>12</v>
      </c>
      <c r="H21" s="15" t="s">
        <v>145</v>
      </c>
      <c r="I21" s="15">
        <f>E21*G21</f>
        <v>118872</v>
      </c>
      <c r="J21" s="17"/>
      <c r="K21" s="17">
        <f>I21*0.1</f>
        <v>11887.2</v>
      </c>
      <c r="L21" s="17">
        <f>I21*0.0171</f>
        <v>2032.7112</v>
      </c>
      <c r="M21" s="17">
        <f>I21*0.03</f>
        <v>3566.16</v>
      </c>
      <c r="N21" s="17">
        <f>I21*0.02</f>
        <v>2377.44</v>
      </c>
    </row>
    <row r="22" spans="1:14" ht="21" customHeight="1">
      <c r="A22" s="20" t="s">
        <v>158</v>
      </c>
      <c r="B22" s="14"/>
      <c r="C22" s="14"/>
      <c r="D22" s="15"/>
      <c r="E22" s="16"/>
      <c r="F22" s="16"/>
      <c r="G22" s="15"/>
      <c r="H22" s="15"/>
      <c r="I22" s="15"/>
      <c r="J22" s="17"/>
      <c r="K22" s="17"/>
      <c r="L22" s="17"/>
      <c r="M22" s="17"/>
      <c r="N22" s="17"/>
    </row>
    <row r="23" spans="1:14" ht="20.399999999999999">
      <c r="A23" s="13" t="s">
        <v>159</v>
      </c>
      <c r="B23" s="14" t="s">
        <v>32</v>
      </c>
      <c r="C23" s="14">
        <v>2021</v>
      </c>
      <c r="D23" s="15" t="s">
        <v>111</v>
      </c>
      <c r="E23" s="16">
        <v>9906</v>
      </c>
      <c r="F23" s="16">
        <f>+E23</f>
        <v>9906</v>
      </c>
      <c r="G23" s="15">
        <v>12</v>
      </c>
      <c r="H23" s="15" t="s">
        <v>145</v>
      </c>
      <c r="I23" s="15">
        <f>E23*G23</f>
        <v>118872</v>
      </c>
      <c r="J23" s="17"/>
      <c r="K23" s="17">
        <f>I23*0.1</f>
        <v>11887.2</v>
      </c>
      <c r="L23" s="17">
        <f>I23*0.0171</f>
        <v>2032.7112</v>
      </c>
      <c r="M23" s="17">
        <f>I23*0.03</f>
        <v>3566.16</v>
      </c>
      <c r="N23" s="17">
        <f>I23*0.02</f>
        <v>2377.44</v>
      </c>
    </row>
    <row r="24" spans="1:14" ht="28.5" customHeight="1">
      <c r="A24" s="13" t="s">
        <v>160</v>
      </c>
      <c r="B24" s="14" t="s">
        <v>32</v>
      </c>
      <c r="C24" s="14">
        <v>2021</v>
      </c>
      <c r="D24" s="15" t="s">
        <v>111</v>
      </c>
      <c r="E24" s="16">
        <v>8593</v>
      </c>
      <c r="F24" s="16">
        <f>+E24</f>
        <v>8593</v>
      </c>
      <c r="G24" s="15">
        <v>12</v>
      </c>
      <c r="H24" s="15" t="s">
        <v>145</v>
      </c>
      <c r="I24" s="15">
        <f>E24*G24</f>
        <v>103116</v>
      </c>
      <c r="J24" s="17"/>
      <c r="K24" s="17">
        <f>I24*0.1</f>
        <v>10311.6</v>
      </c>
      <c r="L24" s="17">
        <f>I24*0.0171</f>
        <v>1763.2836</v>
      </c>
      <c r="M24" s="17">
        <f>I24*0.03</f>
        <v>3093.48</v>
      </c>
      <c r="N24" s="17">
        <f>I24*0.02</f>
        <v>2062.3200000000002</v>
      </c>
    </row>
    <row r="25" spans="1:14" ht="21" customHeight="1">
      <c r="A25" s="21" t="s">
        <v>161</v>
      </c>
      <c r="B25" s="14"/>
      <c r="C25" s="14"/>
      <c r="D25" s="15"/>
      <c r="E25" s="16"/>
      <c r="F25" s="16"/>
      <c r="G25" s="15"/>
      <c r="H25" s="15"/>
      <c r="I25" s="15"/>
      <c r="J25" s="17"/>
      <c r="K25" s="17"/>
      <c r="L25" s="17"/>
      <c r="M25" s="17"/>
      <c r="N25" s="17"/>
    </row>
    <row r="26" spans="1:14" ht="20.399999999999999">
      <c r="A26" s="13" t="s">
        <v>162</v>
      </c>
      <c r="B26" s="14" t="s">
        <v>32</v>
      </c>
      <c r="C26" s="14">
        <v>2021</v>
      </c>
      <c r="D26" s="15" t="s">
        <v>111</v>
      </c>
      <c r="E26" s="16">
        <v>9906</v>
      </c>
      <c r="F26" s="16">
        <f>+E26</f>
        <v>9906</v>
      </c>
      <c r="G26" s="15">
        <v>12</v>
      </c>
      <c r="H26" s="15" t="s">
        <v>145</v>
      </c>
      <c r="I26" s="15">
        <f>E26*G26</f>
        <v>118872</v>
      </c>
      <c r="J26" s="17"/>
      <c r="K26" s="17">
        <f>I26*0.1</f>
        <v>11887.2</v>
      </c>
      <c r="L26" s="17">
        <f>I26*0.0171</f>
        <v>2032.7112</v>
      </c>
      <c r="M26" s="17">
        <f>I26*0.03</f>
        <v>3566.16</v>
      </c>
      <c r="N26" s="17">
        <f>I26*0.02</f>
        <v>2377.44</v>
      </c>
    </row>
    <row r="27" spans="1:14" ht="20.399999999999999">
      <c r="A27" s="13" t="s">
        <v>163</v>
      </c>
      <c r="B27" s="14" t="s">
        <v>32</v>
      </c>
      <c r="C27" s="14">
        <v>2021</v>
      </c>
      <c r="D27" s="15" t="s">
        <v>111</v>
      </c>
      <c r="E27" s="16">
        <v>9130</v>
      </c>
      <c r="F27" s="16">
        <f>+E27</f>
        <v>9130</v>
      </c>
      <c r="G27" s="15">
        <v>12</v>
      </c>
      <c r="H27" s="15" t="s">
        <v>145</v>
      </c>
      <c r="I27" s="15">
        <f>E27*G27</f>
        <v>109560</v>
      </c>
      <c r="J27" s="17"/>
      <c r="K27" s="17">
        <f>I27*0.1</f>
        <v>10956</v>
      </c>
      <c r="L27" s="17">
        <f>I27*0.0171</f>
        <v>1873.4760000000001</v>
      </c>
      <c r="M27" s="17">
        <f>I27*0.03</f>
        <v>3286.7999999999997</v>
      </c>
      <c r="N27" s="17">
        <f>I27*0.02</f>
        <v>2191.2000000000003</v>
      </c>
    </row>
    <row r="28" spans="1:14" ht="23.25" customHeight="1">
      <c r="A28" s="13" t="s">
        <v>164</v>
      </c>
      <c r="B28" s="14" t="s">
        <v>32</v>
      </c>
      <c r="C28" s="14">
        <v>2021</v>
      </c>
      <c r="D28" s="15" t="s">
        <v>111</v>
      </c>
      <c r="E28" s="16">
        <v>7459</v>
      </c>
      <c r="F28" s="16">
        <f>+E28</f>
        <v>7459</v>
      </c>
      <c r="G28" s="15">
        <v>12</v>
      </c>
      <c r="H28" s="15" t="s">
        <v>145</v>
      </c>
      <c r="I28" s="15">
        <f>E28*G28</f>
        <v>89508</v>
      </c>
      <c r="J28" s="17"/>
      <c r="K28" s="17">
        <f>I28*0.1</f>
        <v>8950.8000000000011</v>
      </c>
      <c r="L28" s="17">
        <f>I28*0.0171</f>
        <v>1530.5868</v>
      </c>
      <c r="M28" s="17">
        <f>I28*0.03</f>
        <v>2685.24</v>
      </c>
      <c r="N28" s="17">
        <f>I28*0.02</f>
        <v>1790.16</v>
      </c>
    </row>
    <row r="30" spans="1:14" ht="3.75" customHeight="1">
      <c r="A30" s="4"/>
      <c r="B30" s="5"/>
      <c r="C30" s="5"/>
      <c r="D30" s="5"/>
      <c r="E30" s="4"/>
      <c r="F30" s="4"/>
      <c r="G30" s="4"/>
      <c r="H30" s="5"/>
      <c r="I30" s="6"/>
      <c r="J30" s="6"/>
      <c r="K30" s="6"/>
      <c r="L30" s="6"/>
      <c r="M30" s="6"/>
      <c r="N30" s="6"/>
    </row>
    <row r="31" spans="1:14">
      <c r="A31" s="106" t="s">
        <v>40</v>
      </c>
      <c r="B31" s="101">
        <v>15</v>
      </c>
      <c r="C31" s="7"/>
      <c r="D31" s="11"/>
      <c r="E31" s="107"/>
      <c r="F31" s="107">
        <f>SUM(E8:E28)</f>
        <v>141488</v>
      </c>
      <c r="G31" s="107"/>
      <c r="H31" s="108"/>
      <c r="I31" s="109">
        <f t="shared" ref="I31:N31" si="0">SUM(I8:I29)</f>
        <v>1697856</v>
      </c>
      <c r="J31" s="109">
        <f t="shared" si="0"/>
        <v>17306</v>
      </c>
      <c r="K31" s="109">
        <f t="shared" si="0"/>
        <v>169785.59999999998</v>
      </c>
      <c r="L31" s="109">
        <f t="shared" si="0"/>
        <v>29033.337600000003</v>
      </c>
      <c r="M31" s="109">
        <f t="shared" si="0"/>
        <v>50935.68</v>
      </c>
      <c r="N31" s="109">
        <f t="shared" si="0"/>
        <v>33957.120000000003</v>
      </c>
    </row>
    <row r="32" spans="1:14" ht="15.75" customHeight="1">
      <c r="A32" s="11"/>
      <c r="B32" s="110"/>
      <c r="C32" s="110"/>
      <c r="D32" s="110"/>
      <c r="E32" s="111"/>
      <c r="F32" s="112"/>
      <c r="G32" s="111"/>
      <c r="H32" s="113"/>
      <c r="I32" s="114"/>
      <c r="J32" s="114"/>
      <c r="K32" s="114"/>
      <c r="L32" s="114"/>
      <c r="M32" s="114"/>
      <c r="N32" s="114"/>
    </row>
    <row r="33" spans="1:14" s="102" customFormat="1">
      <c r="A33" s="106" t="s">
        <v>165</v>
      </c>
      <c r="B33" s="101">
        <v>15</v>
      </c>
      <c r="C33" s="7"/>
      <c r="D33" s="11"/>
      <c r="E33" s="107"/>
      <c r="F33" s="107">
        <f>SUM(H33:N33)</f>
        <v>1998873.7376000001</v>
      </c>
      <c r="G33" s="107"/>
      <c r="H33" s="108"/>
      <c r="I33" s="109">
        <f>SUM(I31:I31)</f>
        <v>1697856</v>
      </c>
      <c r="J33" s="109">
        <f>J31</f>
        <v>17306</v>
      </c>
      <c r="K33" s="115">
        <f>SUM(K31:K31)</f>
        <v>169785.59999999998</v>
      </c>
      <c r="L33" s="115">
        <f>SUM(L31:L31)</f>
        <v>29033.337600000003</v>
      </c>
      <c r="M33" s="115">
        <f>SUM(M31:M31)</f>
        <v>50935.68</v>
      </c>
      <c r="N33" s="115">
        <f>SUM(N31:N31)</f>
        <v>33957.120000000003</v>
      </c>
    </row>
    <row r="34" spans="1:14" ht="14.1">
      <c r="A34" s="116"/>
      <c r="B34" s="117"/>
      <c r="C34" s="117"/>
      <c r="D34" s="117"/>
      <c r="E34" s="116"/>
      <c r="F34" s="116"/>
      <c r="G34" s="116"/>
      <c r="H34" s="117"/>
      <c r="I34" s="118">
        <f>+[2]REgaReportesMultiples!$V$17</f>
        <v>942848.8</v>
      </c>
      <c r="J34" s="118"/>
      <c r="K34" s="118"/>
      <c r="L34" s="118"/>
      <c r="M34" s="118"/>
      <c r="N34" s="118"/>
    </row>
    <row r="35" spans="1:14">
      <c r="B35" s="100"/>
      <c r="E35" s="105"/>
      <c r="F35" s="119">
        <v>2004783.93</v>
      </c>
      <c r="H35" s="100"/>
      <c r="I35" s="105"/>
    </row>
    <row r="36" spans="1:14">
      <c r="B36" s="100"/>
      <c r="E36" s="105"/>
      <c r="F36" s="120">
        <f>+F35-F33</f>
        <v>5910.1923999998253</v>
      </c>
      <c r="H36" s="100"/>
      <c r="I36" s="105"/>
    </row>
    <row r="37" spans="1:14">
      <c r="B37" s="100"/>
      <c r="E37" s="105"/>
      <c r="F37" s="121"/>
      <c r="H37" s="100"/>
      <c r="I37" s="105"/>
    </row>
    <row r="38" spans="1:14">
      <c r="B38" s="100"/>
      <c r="E38" s="105"/>
      <c r="H38" s="100"/>
      <c r="I38" s="105"/>
    </row>
    <row r="39" spans="1:14">
      <c r="B39" s="100"/>
      <c r="E39" s="105"/>
      <c r="H39" s="100"/>
      <c r="I39" s="105"/>
    </row>
    <row r="40" spans="1:14">
      <c r="B40" s="100"/>
      <c r="E40" s="105"/>
      <c r="H40" s="100"/>
      <c r="I40" s="105"/>
    </row>
    <row r="41" spans="1:14">
      <c r="B41" s="100"/>
      <c r="E41" s="105"/>
      <c r="H41" s="100"/>
      <c r="I41" s="105"/>
    </row>
    <row r="42" spans="1:14">
      <c r="B42" s="100"/>
      <c r="E42" s="105"/>
      <c r="H42" s="100"/>
      <c r="I42" s="105"/>
    </row>
    <row r="43" spans="1:14">
      <c r="B43" s="100"/>
      <c r="E43" s="105"/>
      <c r="H43" s="100"/>
      <c r="I43" s="105"/>
    </row>
    <row r="44" spans="1:14">
      <c r="B44" s="100"/>
      <c r="E44" s="105"/>
      <c r="H44" s="100"/>
      <c r="I44" s="105"/>
    </row>
    <row r="45" spans="1:14">
      <c r="B45" s="100"/>
      <c r="E45" s="105"/>
      <c r="H45" s="100"/>
      <c r="I45" s="105"/>
    </row>
    <row r="46" spans="1:14">
      <c r="B46" s="100"/>
      <c r="E46" s="105"/>
      <c r="H46" s="100"/>
      <c r="I46" s="105"/>
    </row>
    <row r="47" spans="1:14">
      <c r="B47" s="100"/>
      <c r="E47" s="105"/>
      <c r="H47" s="100"/>
      <c r="I47" s="105"/>
    </row>
    <row r="48" spans="1:14">
      <c r="B48" s="100"/>
      <c r="E48" s="105"/>
      <c r="H48" s="100"/>
      <c r="I48" s="105"/>
    </row>
    <row r="49" spans="2:9">
      <c r="B49" s="100"/>
      <c r="E49" s="105"/>
      <c r="H49" s="100"/>
      <c r="I49" s="105"/>
    </row>
    <row r="50" spans="2:9">
      <c r="B50" s="100"/>
      <c r="E50" s="105"/>
      <c r="H50" s="100"/>
      <c r="I50" s="105"/>
    </row>
    <row r="51" spans="2:9">
      <c r="B51" s="100"/>
      <c r="E51" s="105"/>
      <c r="H51" s="100"/>
      <c r="I51" s="105"/>
    </row>
    <row r="52" spans="2:9">
      <c r="B52" s="100"/>
      <c r="E52" s="105"/>
      <c r="H52" s="100"/>
      <c r="I52" s="105"/>
    </row>
  </sheetData>
  <mergeCells count="1">
    <mergeCell ref="A1:N1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0"/>
  <sheetViews>
    <sheetView workbookViewId="0"/>
  </sheetViews>
  <sheetFormatPr baseColWidth="10" defaultRowHeight="14.4"/>
  <cols>
    <col min="1" max="1" width="6.89453125" customWidth="1"/>
    <col min="3" max="3" width="6.3125" customWidth="1"/>
    <col min="4" max="4" width="11.3125" customWidth="1"/>
    <col min="5" max="5" width="64.5234375" customWidth="1"/>
    <col min="6" max="6" width="23.41796875" customWidth="1"/>
    <col min="7" max="7" width="18.3125" customWidth="1"/>
    <col min="8" max="8" width="21.1015625" customWidth="1"/>
    <col min="9" max="9" width="13" customWidth="1"/>
  </cols>
  <sheetData>
    <row r="1" spans="1:9" ht="21.9">
      <c r="A1" s="60" t="s">
        <v>52</v>
      </c>
    </row>
    <row r="3" spans="1:9" ht="19.8">
      <c r="A3" s="426" t="s">
        <v>53</v>
      </c>
      <c r="B3" s="426"/>
      <c r="C3" s="426"/>
      <c r="D3" s="426"/>
      <c r="E3" s="426"/>
      <c r="F3" s="426"/>
      <c r="G3" s="426"/>
      <c r="H3" s="426"/>
      <c r="I3" s="426"/>
    </row>
    <row r="4" spans="1:9">
      <c r="E4" s="61"/>
    </row>
    <row r="5" spans="1:9" ht="14.7" thickBot="1">
      <c r="H5" s="427" t="s">
        <v>54</v>
      </c>
      <c r="I5" s="427"/>
    </row>
    <row r="6" spans="1:9" ht="14.7" thickTop="1">
      <c r="A6" s="62"/>
      <c r="B6" s="428" t="s">
        <v>55</v>
      </c>
      <c r="C6" s="429"/>
      <c r="D6" s="430"/>
      <c r="E6" s="434" t="s">
        <v>56</v>
      </c>
      <c r="F6" s="435"/>
      <c r="G6" s="435"/>
      <c r="H6" s="436"/>
      <c r="I6" s="440"/>
    </row>
    <row r="7" spans="1:9" ht="14.7" thickBot="1">
      <c r="A7" s="63"/>
      <c r="B7" s="431"/>
      <c r="C7" s="432"/>
      <c r="D7" s="433"/>
      <c r="E7" s="437"/>
      <c r="F7" s="438"/>
      <c r="G7" s="438"/>
      <c r="H7" s="439"/>
      <c r="I7" s="441"/>
    </row>
    <row r="8" spans="1:9" ht="19.5" customHeight="1">
      <c r="A8" s="64" t="s">
        <v>57</v>
      </c>
      <c r="B8" s="65"/>
      <c r="C8" s="66"/>
      <c r="D8" s="442" t="s">
        <v>58</v>
      </c>
      <c r="E8" s="442" t="s">
        <v>59</v>
      </c>
      <c r="F8" s="65"/>
      <c r="G8" s="442" t="s">
        <v>60</v>
      </c>
      <c r="H8" s="445" t="s">
        <v>61</v>
      </c>
      <c r="I8" s="67"/>
    </row>
    <row r="9" spans="1:9" ht="18" customHeight="1">
      <c r="A9" s="68"/>
      <c r="B9" s="69" t="s">
        <v>62</v>
      </c>
      <c r="C9" s="70" t="s">
        <v>63</v>
      </c>
      <c r="D9" s="443"/>
      <c r="E9" s="443"/>
      <c r="F9" s="71" t="s">
        <v>64</v>
      </c>
      <c r="G9" s="443"/>
      <c r="H9" s="446"/>
      <c r="I9" s="72" t="s">
        <v>65</v>
      </c>
    </row>
    <row r="10" spans="1:9" ht="14.25" customHeight="1" thickBot="1">
      <c r="A10" s="73"/>
      <c r="B10" s="74"/>
      <c r="C10" s="74"/>
      <c r="D10" s="444"/>
      <c r="E10" s="444"/>
      <c r="F10" s="74"/>
      <c r="G10" s="444"/>
      <c r="H10" s="447"/>
      <c r="I10" s="75"/>
    </row>
    <row r="11" spans="1:9" ht="8.25" customHeight="1" thickTop="1">
      <c r="A11" s="76"/>
      <c r="B11" s="448" t="s">
        <v>66</v>
      </c>
      <c r="C11" s="77"/>
      <c r="D11" s="78"/>
      <c r="E11" s="448" t="s">
        <v>67</v>
      </c>
      <c r="F11" s="448"/>
      <c r="G11" s="450"/>
      <c r="H11" s="452"/>
      <c r="I11" s="424" t="s">
        <v>68</v>
      </c>
    </row>
    <row r="12" spans="1:9" ht="30" customHeight="1" thickBot="1">
      <c r="A12" s="79">
        <v>1</v>
      </c>
      <c r="B12" s="449"/>
      <c r="C12" s="80">
        <v>3</v>
      </c>
      <c r="D12" s="81">
        <v>18987</v>
      </c>
      <c r="E12" s="449"/>
      <c r="F12" s="449"/>
      <c r="G12" s="451"/>
      <c r="H12" s="453"/>
      <c r="I12" s="425"/>
    </row>
    <row r="13" spans="1:9" ht="24" customHeight="1" thickTop="1">
      <c r="A13" s="457">
        <v>2</v>
      </c>
      <c r="B13" s="460" t="s">
        <v>69</v>
      </c>
      <c r="C13" s="448">
        <v>5</v>
      </c>
      <c r="D13" s="464">
        <v>9906</v>
      </c>
      <c r="E13" s="82" t="s">
        <v>70</v>
      </c>
      <c r="F13" s="448" t="s">
        <v>71</v>
      </c>
      <c r="G13" s="471" t="s">
        <v>72</v>
      </c>
      <c r="H13" s="454" t="s">
        <v>73</v>
      </c>
      <c r="I13" s="424" t="s">
        <v>28</v>
      </c>
    </row>
    <row r="14" spans="1:9" ht="27.75" customHeight="1">
      <c r="A14" s="458"/>
      <c r="B14" s="461"/>
      <c r="C14" s="463"/>
      <c r="D14" s="465"/>
      <c r="E14" s="82" t="s">
        <v>74</v>
      </c>
      <c r="F14" s="463"/>
      <c r="G14" s="472"/>
      <c r="H14" s="455"/>
      <c r="I14" s="456"/>
    </row>
    <row r="15" spans="1:9" ht="30" customHeight="1">
      <c r="A15" s="458"/>
      <c r="B15" s="461"/>
      <c r="C15" s="463"/>
      <c r="D15" s="465"/>
      <c r="E15" s="82" t="s">
        <v>75</v>
      </c>
      <c r="F15" s="463"/>
      <c r="G15" s="472"/>
      <c r="H15" s="455"/>
      <c r="I15" s="456"/>
    </row>
    <row r="16" spans="1:9" ht="13.5" customHeight="1">
      <c r="A16" s="458"/>
      <c r="B16" s="461"/>
      <c r="C16" s="463"/>
      <c r="D16" s="465"/>
      <c r="E16" s="82" t="s">
        <v>76</v>
      </c>
      <c r="F16" s="463"/>
      <c r="G16" s="472"/>
      <c r="H16" s="455"/>
      <c r="I16" s="456"/>
    </row>
    <row r="17" spans="1:9" ht="12" customHeight="1" thickBot="1">
      <c r="A17" s="458"/>
      <c r="B17" s="461"/>
      <c r="C17" s="463"/>
      <c r="D17" s="465"/>
      <c r="E17" s="83" t="s">
        <v>77</v>
      </c>
      <c r="F17" s="470"/>
      <c r="G17" s="472"/>
      <c r="H17" s="455"/>
      <c r="I17" s="456"/>
    </row>
    <row r="18" spans="1:9" ht="24.75" customHeight="1" thickTop="1">
      <c r="A18" s="457">
        <v>3</v>
      </c>
      <c r="B18" s="460" t="s">
        <v>78</v>
      </c>
      <c r="C18" s="448">
        <v>15</v>
      </c>
      <c r="D18" s="464">
        <v>8593</v>
      </c>
      <c r="E18" s="82" t="s">
        <v>70</v>
      </c>
      <c r="F18" s="467" t="s">
        <v>79</v>
      </c>
      <c r="G18" s="450" t="s">
        <v>80</v>
      </c>
      <c r="H18" s="452" t="s">
        <v>73</v>
      </c>
      <c r="I18" s="456" t="s">
        <v>28</v>
      </c>
    </row>
    <row r="19" spans="1:9" ht="27.75" customHeight="1">
      <c r="A19" s="458"/>
      <c r="B19" s="461"/>
      <c r="C19" s="463"/>
      <c r="D19" s="465"/>
      <c r="E19" s="82" t="s">
        <v>74</v>
      </c>
      <c r="F19" s="463"/>
      <c r="G19" s="468"/>
      <c r="H19" s="469"/>
      <c r="I19" s="456"/>
    </row>
    <row r="20" spans="1:9" ht="26.25" customHeight="1" thickBot="1">
      <c r="A20" s="459"/>
      <c r="B20" s="462"/>
      <c r="C20" s="449"/>
      <c r="D20" s="466"/>
      <c r="E20" s="84" t="s">
        <v>81</v>
      </c>
      <c r="F20" s="449"/>
      <c r="G20" s="451"/>
      <c r="H20" s="453"/>
      <c r="I20" s="425"/>
    </row>
    <row r="21" spans="1:9" ht="23.25" customHeight="1" thickTop="1">
      <c r="A21" s="457">
        <v>4</v>
      </c>
      <c r="B21" s="460" t="s">
        <v>82</v>
      </c>
      <c r="C21" s="448">
        <v>16</v>
      </c>
      <c r="D21" s="464">
        <v>8175</v>
      </c>
      <c r="E21" s="82" t="s">
        <v>70</v>
      </c>
      <c r="F21" s="448" t="s">
        <v>71</v>
      </c>
      <c r="G21" s="450" t="s">
        <v>83</v>
      </c>
      <c r="H21" s="452" t="s">
        <v>84</v>
      </c>
      <c r="I21" s="424" t="s">
        <v>85</v>
      </c>
    </row>
    <row r="22" spans="1:9" ht="23.25" customHeight="1">
      <c r="A22" s="458"/>
      <c r="B22" s="461"/>
      <c r="C22" s="463"/>
      <c r="D22" s="465"/>
      <c r="E22" s="82" t="s">
        <v>74</v>
      </c>
      <c r="F22" s="463"/>
      <c r="G22" s="468"/>
      <c r="H22" s="469"/>
      <c r="I22" s="456"/>
    </row>
    <row r="23" spans="1:9" ht="29.25" customHeight="1">
      <c r="A23" s="458"/>
      <c r="B23" s="461"/>
      <c r="C23" s="463"/>
      <c r="D23" s="465"/>
      <c r="E23" s="82" t="s">
        <v>75</v>
      </c>
      <c r="F23" s="463"/>
      <c r="G23" s="468"/>
      <c r="H23" s="469"/>
      <c r="I23" s="456"/>
    </row>
    <row r="24" spans="1:9" ht="18.75" customHeight="1">
      <c r="A24" s="458"/>
      <c r="B24" s="461"/>
      <c r="C24" s="463"/>
      <c r="D24" s="465"/>
      <c r="E24" s="82" t="s">
        <v>76</v>
      </c>
      <c r="F24" s="463"/>
      <c r="G24" s="468"/>
      <c r="H24" s="469"/>
      <c r="I24" s="456"/>
    </row>
    <row r="25" spans="1:9" ht="18.75" customHeight="1" thickBot="1">
      <c r="A25" s="458"/>
      <c r="B25" s="461"/>
      <c r="C25" s="463"/>
      <c r="D25" s="465"/>
      <c r="E25" s="83" t="s">
        <v>77</v>
      </c>
      <c r="F25" s="463"/>
      <c r="G25" s="468"/>
      <c r="H25" s="469"/>
      <c r="I25" s="456"/>
    </row>
    <row r="26" spans="1:9" ht="14.7" thickTop="1">
      <c r="A26" s="457">
        <v>5</v>
      </c>
      <c r="B26" s="460" t="s">
        <v>86</v>
      </c>
      <c r="C26" s="448">
        <v>17</v>
      </c>
      <c r="D26" s="464">
        <v>7459</v>
      </c>
      <c r="E26" s="82" t="s">
        <v>70</v>
      </c>
      <c r="F26" s="471" t="s">
        <v>87</v>
      </c>
      <c r="G26" s="450" t="s">
        <v>88</v>
      </c>
      <c r="H26" s="454" t="s">
        <v>84</v>
      </c>
      <c r="I26" s="424" t="s">
        <v>89</v>
      </c>
    </row>
    <row r="27" spans="1:9" ht="24" customHeight="1">
      <c r="A27" s="458"/>
      <c r="B27" s="461"/>
      <c r="C27" s="463"/>
      <c r="D27" s="465"/>
      <c r="E27" s="82" t="s">
        <v>74</v>
      </c>
      <c r="F27" s="472"/>
      <c r="G27" s="468"/>
      <c r="H27" s="455"/>
      <c r="I27" s="456"/>
    </row>
    <row r="28" spans="1:9" ht="24.75" customHeight="1">
      <c r="A28" s="458"/>
      <c r="B28" s="461"/>
      <c r="C28" s="463"/>
      <c r="D28" s="465"/>
      <c r="E28" s="82" t="s">
        <v>75</v>
      </c>
      <c r="F28" s="472"/>
      <c r="G28" s="468"/>
      <c r="H28" s="455"/>
      <c r="I28" s="456"/>
    </row>
    <row r="29" spans="1:9" ht="17.25" customHeight="1">
      <c r="A29" s="458"/>
      <c r="B29" s="461"/>
      <c r="C29" s="463"/>
      <c r="D29" s="465"/>
      <c r="E29" s="82" t="s">
        <v>76</v>
      </c>
      <c r="F29" s="472"/>
      <c r="G29" s="468"/>
      <c r="H29" s="455"/>
      <c r="I29" s="456"/>
    </row>
    <row r="30" spans="1:9" ht="16.5" customHeight="1" thickBot="1">
      <c r="A30" s="459"/>
      <c r="B30" s="462"/>
      <c r="C30" s="449"/>
      <c r="D30" s="466"/>
      <c r="E30" s="84" t="s">
        <v>77</v>
      </c>
      <c r="F30" s="473"/>
      <c r="G30" s="451"/>
      <c r="H30" s="474"/>
      <c r="I30" s="425"/>
    </row>
    <row r="31" spans="1:9" ht="20.25" customHeight="1" thickTop="1">
      <c r="A31" s="457">
        <v>6</v>
      </c>
      <c r="B31" s="460" t="s">
        <v>90</v>
      </c>
      <c r="C31" s="448">
        <v>19</v>
      </c>
      <c r="D31" s="464">
        <v>6206</v>
      </c>
      <c r="E31" s="85" t="s">
        <v>70</v>
      </c>
      <c r="F31" s="471" t="s">
        <v>91</v>
      </c>
      <c r="G31" s="448" t="s">
        <v>92</v>
      </c>
      <c r="H31" s="475" t="s">
        <v>93</v>
      </c>
      <c r="I31" s="424" t="s">
        <v>89</v>
      </c>
    </row>
    <row r="32" spans="1:9" ht="24.9" customHeight="1">
      <c r="A32" s="458"/>
      <c r="B32" s="461"/>
      <c r="C32" s="463"/>
      <c r="D32" s="465"/>
      <c r="E32" s="86" t="s">
        <v>74</v>
      </c>
      <c r="F32" s="472"/>
      <c r="G32" s="463"/>
      <c r="H32" s="476"/>
      <c r="I32" s="456"/>
    </row>
    <row r="33" spans="1:9" ht="24.9" customHeight="1">
      <c r="A33" s="458"/>
      <c r="B33" s="461"/>
      <c r="C33" s="463"/>
      <c r="D33" s="465"/>
      <c r="E33" s="86" t="s">
        <v>75</v>
      </c>
      <c r="F33" s="472"/>
      <c r="G33" s="463"/>
      <c r="H33" s="476"/>
      <c r="I33" s="456"/>
    </row>
    <row r="34" spans="1:9" ht="16.5" customHeight="1">
      <c r="A34" s="458"/>
      <c r="B34" s="461"/>
      <c r="C34" s="463"/>
      <c r="D34" s="465"/>
      <c r="E34" s="86" t="s">
        <v>76</v>
      </c>
      <c r="F34" s="472"/>
      <c r="G34" s="463"/>
      <c r="H34" s="476"/>
      <c r="I34" s="456"/>
    </row>
    <row r="35" spans="1:9" ht="15" customHeight="1" thickBot="1">
      <c r="A35" s="485"/>
      <c r="B35" s="486"/>
      <c r="C35" s="470"/>
      <c r="D35" s="487"/>
      <c r="E35" s="83" t="s">
        <v>77</v>
      </c>
      <c r="F35" s="488"/>
      <c r="G35" s="470"/>
      <c r="H35" s="477"/>
      <c r="I35" s="478"/>
    </row>
    <row r="36" spans="1:9" ht="18" customHeight="1">
      <c r="A36" s="458">
        <v>7</v>
      </c>
      <c r="B36" s="461" t="s">
        <v>94</v>
      </c>
      <c r="C36" s="463">
        <v>20</v>
      </c>
      <c r="D36" s="479">
        <v>5550</v>
      </c>
      <c r="E36" s="82" t="s">
        <v>70</v>
      </c>
      <c r="F36" s="468" t="s">
        <v>95</v>
      </c>
      <c r="G36" s="481" t="s">
        <v>96</v>
      </c>
      <c r="H36" s="483" t="s">
        <v>97</v>
      </c>
      <c r="I36" s="456" t="s">
        <v>89</v>
      </c>
    </row>
    <row r="37" spans="1:9" ht="24.9" customHeight="1">
      <c r="A37" s="458"/>
      <c r="B37" s="461"/>
      <c r="C37" s="463"/>
      <c r="D37" s="479"/>
      <c r="E37" s="82" t="s">
        <v>74</v>
      </c>
      <c r="F37" s="468"/>
      <c r="G37" s="481"/>
      <c r="H37" s="483"/>
      <c r="I37" s="456"/>
    </row>
    <row r="38" spans="1:9" ht="24.9" customHeight="1">
      <c r="A38" s="458"/>
      <c r="B38" s="461"/>
      <c r="C38" s="463"/>
      <c r="D38" s="479"/>
      <c r="E38" s="82" t="s">
        <v>75</v>
      </c>
      <c r="F38" s="468"/>
      <c r="G38" s="481"/>
      <c r="H38" s="483"/>
      <c r="I38" s="456"/>
    </row>
    <row r="39" spans="1:9" ht="19.5" customHeight="1">
      <c r="A39" s="458"/>
      <c r="B39" s="461"/>
      <c r="C39" s="463"/>
      <c r="D39" s="479"/>
      <c r="E39" s="82" t="s">
        <v>76</v>
      </c>
      <c r="F39" s="468"/>
      <c r="G39" s="481"/>
      <c r="H39" s="483"/>
      <c r="I39" s="456"/>
    </row>
    <row r="40" spans="1:9" ht="15.75" customHeight="1" thickBot="1">
      <c r="A40" s="459"/>
      <c r="B40" s="462"/>
      <c r="C40" s="449"/>
      <c r="D40" s="480"/>
      <c r="E40" s="84" t="s">
        <v>77</v>
      </c>
      <c r="F40" s="451"/>
      <c r="G40" s="482"/>
      <c r="H40" s="484"/>
      <c r="I40" s="425"/>
    </row>
    <row r="41" spans="1:9" ht="19.5" customHeight="1" thickTop="1">
      <c r="A41" s="457">
        <v>8</v>
      </c>
      <c r="B41" s="460" t="s">
        <v>98</v>
      </c>
      <c r="C41" s="448">
        <v>22</v>
      </c>
      <c r="D41" s="490">
        <v>4416</v>
      </c>
      <c r="E41" s="82" t="s">
        <v>70</v>
      </c>
      <c r="F41" s="450" t="s">
        <v>99</v>
      </c>
      <c r="G41" s="493" t="s">
        <v>100</v>
      </c>
      <c r="H41" s="475" t="s">
        <v>101</v>
      </c>
      <c r="I41" s="424" t="s">
        <v>89</v>
      </c>
    </row>
    <row r="42" spans="1:9" ht="24.9" customHeight="1">
      <c r="A42" s="458"/>
      <c r="B42" s="461"/>
      <c r="C42" s="463"/>
      <c r="D42" s="479"/>
      <c r="E42" s="82" t="s">
        <v>74</v>
      </c>
      <c r="F42" s="468"/>
      <c r="G42" s="481"/>
      <c r="H42" s="476"/>
      <c r="I42" s="456"/>
    </row>
    <row r="43" spans="1:9" ht="24.9" customHeight="1">
      <c r="A43" s="458"/>
      <c r="B43" s="461"/>
      <c r="C43" s="463"/>
      <c r="D43" s="479"/>
      <c r="E43" s="82" t="s">
        <v>75</v>
      </c>
      <c r="F43" s="468"/>
      <c r="G43" s="481"/>
      <c r="H43" s="476"/>
      <c r="I43" s="456"/>
    </row>
    <row r="44" spans="1:9" ht="12.75" customHeight="1">
      <c r="A44" s="458"/>
      <c r="B44" s="461"/>
      <c r="C44" s="463"/>
      <c r="D44" s="479"/>
      <c r="E44" s="82" t="s">
        <v>76</v>
      </c>
      <c r="F44" s="468"/>
      <c r="G44" s="481"/>
      <c r="H44" s="476"/>
      <c r="I44" s="456"/>
    </row>
    <row r="45" spans="1:9" ht="15" customHeight="1" thickBot="1">
      <c r="A45" s="459"/>
      <c r="B45" s="462"/>
      <c r="C45" s="449"/>
      <c r="D45" s="480"/>
      <c r="E45" s="84" t="s">
        <v>77</v>
      </c>
      <c r="F45" s="451"/>
      <c r="G45" s="482"/>
      <c r="H45" s="489"/>
      <c r="I45" s="425"/>
    </row>
    <row r="46" spans="1:9" ht="24.9" customHeight="1" thickTop="1">
      <c r="A46" s="457">
        <v>9</v>
      </c>
      <c r="B46" s="460" t="s">
        <v>102</v>
      </c>
      <c r="C46" s="448">
        <v>24</v>
      </c>
      <c r="D46" s="490">
        <v>3640</v>
      </c>
      <c r="E46" s="87" t="s">
        <v>70</v>
      </c>
      <c r="F46" s="448" t="s">
        <v>103</v>
      </c>
      <c r="G46" s="450" t="s">
        <v>104</v>
      </c>
      <c r="H46" s="475" t="s">
        <v>105</v>
      </c>
      <c r="I46" s="424" t="s">
        <v>89</v>
      </c>
    </row>
    <row r="47" spans="1:9" ht="24.9" customHeight="1">
      <c r="A47" s="458"/>
      <c r="B47" s="461"/>
      <c r="C47" s="463"/>
      <c r="D47" s="479"/>
      <c r="E47" s="82" t="s">
        <v>74</v>
      </c>
      <c r="F47" s="463"/>
      <c r="G47" s="468"/>
      <c r="H47" s="476"/>
      <c r="I47" s="456"/>
    </row>
    <row r="48" spans="1:9" ht="24.9" customHeight="1">
      <c r="A48" s="458"/>
      <c r="B48" s="461"/>
      <c r="C48" s="463"/>
      <c r="D48" s="479"/>
      <c r="E48" s="82" t="s">
        <v>75</v>
      </c>
      <c r="F48" s="463"/>
      <c r="G48" s="468"/>
      <c r="H48" s="476"/>
      <c r="I48" s="456"/>
    </row>
    <row r="49" spans="1:9" ht="17.25" customHeight="1">
      <c r="A49" s="458"/>
      <c r="B49" s="461"/>
      <c r="C49" s="463"/>
      <c r="D49" s="479"/>
      <c r="E49" s="82" t="s">
        <v>76</v>
      </c>
      <c r="F49" s="463"/>
      <c r="G49" s="468"/>
      <c r="H49" s="476"/>
      <c r="I49" s="456"/>
    </row>
    <row r="50" spans="1:9" ht="18" customHeight="1" thickBot="1">
      <c r="A50" s="485"/>
      <c r="B50" s="486"/>
      <c r="C50" s="470"/>
      <c r="D50" s="491"/>
      <c r="E50" s="88" t="s">
        <v>77</v>
      </c>
      <c r="F50" s="470"/>
      <c r="G50" s="492"/>
      <c r="H50" s="477"/>
      <c r="I50" s="478"/>
    </row>
    <row r="53" spans="1:9">
      <c r="A53" s="89" t="s">
        <v>106</v>
      </c>
    </row>
    <row r="54" spans="1:9">
      <c r="A54" s="90"/>
    </row>
    <row r="55" spans="1:9">
      <c r="A55" s="91" t="s">
        <v>107</v>
      </c>
    </row>
    <row r="56" spans="1:9">
      <c r="A56" s="91" t="s">
        <v>108</v>
      </c>
    </row>
    <row r="57" spans="1:9">
      <c r="A57" s="92"/>
    </row>
    <row r="58" spans="1:9">
      <c r="A58" s="92"/>
    </row>
    <row r="59" spans="1:9">
      <c r="A59" s="92"/>
    </row>
    <row r="60" spans="1:9">
      <c r="A60" s="92"/>
    </row>
  </sheetData>
  <mergeCells count="79">
    <mergeCell ref="H41:H45"/>
    <mergeCell ref="I41:I45"/>
    <mergeCell ref="A46:A50"/>
    <mergeCell ref="B46:B50"/>
    <mergeCell ref="C46:C50"/>
    <mergeCell ref="D46:D50"/>
    <mergeCell ref="F46:F50"/>
    <mergeCell ref="G46:G50"/>
    <mergeCell ref="H46:H50"/>
    <mergeCell ref="I46:I50"/>
    <mergeCell ref="A41:A45"/>
    <mergeCell ref="B41:B45"/>
    <mergeCell ref="C41:C45"/>
    <mergeCell ref="D41:D45"/>
    <mergeCell ref="F41:F45"/>
    <mergeCell ref="G41:G45"/>
    <mergeCell ref="H31:H35"/>
    <mergeCell ref="I31:I35"/>
    <mergeCell ref="A36:A40"/>
    <mergeCell ref="B36:B40"/>
    <mergeCell ref="C36:C40"/>
    <mergeCell ref="D36:D40"/>
    <mergeCell ref="F36:F40"/>
    <mergeCell ref="G36:G40"/>
    <mergeCell ref="H36:H40"/>
    <mergeCell ref="I36:I40"/>
    <mergeCell ref="A31:A35"/>
    <mergeCell ref="B31:B35"/>
    <mergeCell ref="C31:C35"/>
    <mergeCell ref="D31:D35"/>
    <mergeCell ref="F31:F35"/>
    <mergeCell ref="G31:G35"/>
    <mergeCell ref="H21:H25"/>
    <mergeCell ref="I21:I25"/>
    <mergeCell ref="A26:A30"/>
    <mergeCell ref="B26:B30"/>
    <mergeCell ref="C26:C30"/>
    <mergeCell ref="D26:D30"/>
    <mergeCell ref="F26:F30"/>
    <mergeCell ref="G26:G30"/>
    <mergeCell ref="H26:H30"/>
    <mergeCell ref="I26:I30"/>
    <mergeCell ref="A21:A25"/>
    <mergeCell ref="B21:B25"/>
    <mergeCell ref="C21:C25"/>
    <mergeCell ref="D21:D25"/>
    <mergeCell ref="F21:F25"/>
    <mergeCell ref="G21:G25"/>
    <mergeCell ref="H13:H17"/>
    <mergeCell ref="I13:I17"/>
    <mergeCell ref="A18:A20"/>
    <mergeCell ref="B18:B20"/>
    <mergeCell ref="C18:C20"/>
    <mergeCell ref="D18:D20"/>
    <mergeCell ref="F18:F20"/>
    <mergeCell ref="G18:G20"/>
    <mergeCell ref="H18:H20"/>
    <mergeCell ref="I18:I20"/>
    <mergeCell ref="A13:A17"/>
    <mergeCell ref="B13:B17"/>
    <mergeCell ref="C13:C17"/>
    <mergeCell ref="D13:D17"/>
    <mergeCell ref="F13:F17"/>
    <mergeCell ref="G13:G17"/>
    <mergeCell ref="I11:I12"/>
    <mergeCell ref="A3:I3"/>
    <mergeCell ref="H5:I5"/>
    <mergeCell ref="B6:D7"/>
    <mergeCell ref="E6:H7"/>
    <mergeCell ref="I6:I7"/>
    <mergeCell ref="D8:D10"/>
    <mergeCell ref="E8:E10"/>
    <mergeCell ref="G8:G10"/>
    <mergeCell ref="H8:H10"/>
    <mergeCell ref="B11:B12"/>
    <mergeCell ref="E11:E12"/>
    <mergeCell ref="F11:F12"/>
    <mergeCell ref="G11:G12"/>
    <mergeCell ref="H11:H12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J17"/>
  <sheetViews>
    <sheetView workbookViewId="0"/>
  </sheetViews>
  <sheetFormatPr baseColWidth="10" defaultRowHeight="14.4"/>
  <cols>
    <col min="1" max="1" width="14.1015625" customWidth="1"/>
    <col min="4" max="4" width="14.68359375" customWidth="1"/>
    <col min="5" max="5" width="29.3125" customWidth="1"/>
    <col min="8" max="8" width="12.89453125" customWidth="1"/>
    <col min="9" max="9" width="13.68359375" customWidth="1"/>
  </cols>
  <sheetData>
    <row r="4" spans="1:9" ht="20.399999999999999">
      <c r="A4" s="496" t="s">
        <v>247</v>
      </c>
      <c r="B4" s="496"/>
      <c r="C4" s="496"/>
      <c r="D4" s="496"/>
      <c r="E4" s="496"/>
      <c r="F4" s="496"/>
      <c r="G4" s="496"/>
      <c r="H4" s="496"/>
    </row>
    <row r="5" spans="1:9" ht="20.399999999999999">
      <c r="A5" s="496" t="s">
        <v>52</v>
      </c>
      <c r="B5" s="496"/>
      <c r="C5" s="496"/>
      <c r="D5" s="496"/>
      <c r="E5" s="496"/>
      <c r="F5" s="496"/>
      <c r="G5" s="496"/>
      <c r="H5" s="496"/>
    </row>
    <row r="6" spans="1:9">
      <c r="A6" s="403" t="s">
        <v>117</v>
      </c>
      <c r="B6" s="403"/>
      <c r="C6" s="403"/>
      <c r="D6" s="403"/>
      <c r="E6" s="403"/>
      <c r="F6" s="403"/>
      <c r="G6" s="403"/>
      <c r="H6" s="403"/>
    </row>
    <row r="8" spans="1:9">
      <c r="A8" t="s">
        <v>118</v>
      </c>
      <c r="D8" t="s">
        <v>119</v>
      </c>
    </row>
    <row r="9" spans="1:9">
      <c r="A9" t="s">
        <v>120</v>
      </c>
      <c r="D9" t="s">
        <v>244</v>
      </c>
    </row>
    <row r="10" spans="1:9">
      <c r="A10" t="s">
        <v>121</v>
      </c>
      <c r="D10" t="s">
        <v>122</v>
      </c>
    </row>
    <row r="11" spans="1:9">
      <c r="A11" t="s">
        <v>123</v>
      </c>
      <c r="D11" t="s">
        <v>124</v>
      </c>
    </row>
    <row r="12" spans="1:9" ht="14.7" thickBot="1"/>
    <row r="13" spans="1:9" ht="29.1" thickBot="1">
      <c r="A13" s="128" t="s">
        <v>112</v>
      </c>
      <c r="B13" s="129" t="s">
        <v>113</v>
      </c>
      <c r="C13" s="129" t="s">
        <v>114</v>
      </c>
      <c r="D13" s="129" t="s">
        <v>125</v>
      </c>
      <c r="E13" s="177" t="s">
        <v>115</v>
      </c>
      <c r="F13" s="129" t="s">
        <v>126</v>
      </c>
      <c r="G13" s="129" t="s">
        <v>5</v>
      </c>
      <c r="H13" s="130" t="s">
        <v>110</v>
      </c>
    </row>
    <row r="14" spans="1:9" ht="14.7" thickBot="1">
      <c r="A14" s="99" t="s">
        <v>116</v>
      </c>
      <c r="B14" s="93">
        <v>3</v>
      </c>
      <c r="C14" s="93">
        <v>3</v>
      </c>
      <c r="D14" s="93">
        <f>C14</f>
        <v>3</v>
      </c>
      <c r="E14" s="168" t="s">
        <v>127</v>
      </c>
      <c r="F14" s="93">
        <v>1</v>
      </c>
      <c r="G14" s="94">
        <v>18987</v>
      </c>
      <c r="H14" s="95">
        <f>F14*G14</f>
        <v>18987</v>
      </c>
    </row>
    <row r="15" spans="1:9">
      <c r="A15" s="497" t="s">
        <v>129</v>
      </c>
      <c r="B15" s="498"/>
      <c r="C15" s="498"/>
      <c r="D15" s="498"/>
      <c r="E15" s="498"/>
      <c r="F15" s="498"/>
      <c r="G15" s="498"/>
      <c r="H15" s="97">
        <f>SUM(H14:H14)</f>
        <v>18987</v>
      </c>
      <c r="I15" s="53" t="e">
        <f>H15-'planilla salarial 2022'!F53</f>
        <v>#REF!</v>
      </c>
    </row>
    <row r="16" spans="1:9" ht="14.7" thickBot="1">
      <c r="A16" s="494" t="s">
        <v>130</v>
      </c>
      <c r="B16" s="495"/>
      <c r="C16" s="495"/>
      <c r="D16" s="495"/>
      <c r="E16" s="495"/>
      <c r="F16" s="495"/>
      <c r="G16" s="495"/>
      <c r="H16" s="98">
        <f>H15*12</f>
        <v>227844</v>
      </c>
      <c r="I16">
        <v>1554882</v>
      </c>
    </row>
    <row r="17" spans="9:10">
      <c r="I17" s="53">
        <f>+I16-H16</f>
        <v>1327038</v>
      </c>
      <c r="J17" s="53"/>
    </row>
  </sheetData>
  <mergeCells count="5">
    <mergeCell ref="A16:G16"/>
    <mergeCell ref="A4:H4"/>
    <mergeCell ref="A5:H5"/>
    <mergeCell ref="A6:H6"/>
    <mergeCell ref="A15:G15"/>
  </mergeCells>
  <pageMargins left="0.70866141732283472" right="0.70866141732283472" top="0.74803149606299213" bottom="0.74803149606299213" header="0.31496062992125984" footer="0.31496062992125984"/>
  <pageSetup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1</vt:i4>
      </vt:variant>
    </vt:vector>
  </HeadingPairs>
  <TitlesOfParts>
    <vt:vector size="18" baseType="lpstr">
      <vt:lpstr>planilla salarial CONSULTORES</vt:lpstr>
      <vt:lpstr>planilla salarial (5)</vt:lpstr>
      <vt:lpstr>ESCALA SALARIAL-PROPUESTA</vt:lpstr>
      <vt:lpstr>ESTRUCTURA DE CARGOS</vt:lpstr>
      <vt:lpstr>ESCALA SALARIAL</vt:lpstr>
      <vt:lpstr>EQUIVALENCIA</vt:lpstr>
      <vt:lpstr>CUADRO COMPARATIVO</vt:lpstr>
      <vt:lpstr>CUADRO RESUMEN</vt:lpstr>
      <vt:lpstr>DIRECTOR</vt:lpstr>
      <vt:lpstr>planilla salarial 2022</vt:lpstr>
      <vt:lpstr>planilla salarial (6)</vt:lpstr>
      <vt:lpstr>planilla salarial (4)</vt:lpstr>
      <vt:lpstr>planilla salarial (3)</vt:lpstr>
      <vt:lpstr>planilla salarial (2)</vt:lpstr>
      <vt:lpstr>Hoja5</vt:lpstr>
      <vt:lpstr>Hoja2</vt:lpstr>
      <vt:lpstr>escala salarial (3)</vt:lpstr>
      <vt:lpstr>'planilla salarial 2022'!Área_de_impresión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Contador</dc:creator>
  <cp:lastModifiedBy>Desktop</cp:lastModifiedBy>
  <cp:lastPrinted>2024-06-26T14:45:56Z</cp:lastPrinted>
  <dcterms:created xsi:type="dcterms:W3CDTF">2021-01-07T13:49:07Z</dcterms:created>
  <dcterms:modified xsi:type="dcterms:W3CDTF">2024-09-28T17:43:30Z</dcterms:modified>
</cp:coreProperties>
</file>